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BORDRO (Sayfa-1)" sheetId="1" r:id="rId1"/>
    <sheet name="BORDRO (Sayfa-2)" sheetId="2" r:id="rId2"/>
    <sheet name="P" sheetId="3" r:id="rId3"/>
    <sheet name="MH" sheetId="4" r:id="rId4"/>
    <sheet name="GVT" sheetId="5" r:id="rId5"/>
    <sheet name="KüMüLATiF" sheetId="6" r:id="rId6"/>
  </sheets>
  <definedNames>
    <definedName name="G">'MH'!$C$4:$E$14</definedName>
    <definedName name="MH">'MH'!$C$4:$E$14</definedName>
  </definedNames>
  <calcPr fullCalcOnLoad="1"/>
</workbook>
</file>

<file path=xl/sharedStrings.xml><?xml version="1.0" encoding="utf-8"?>
<sst xmlns="http://schemas.openxmlformats.org/spreadsheetml/2006/main" count="255" uniqueCount="123">
  <si>
    <t>ASGARİ ÜCRET</t>
  </si>
  <si>
    <t>GÜNLÜK ASGARİ ÜCRET</t>
  </si>
  <si>
    <t>KESİNTİLER TOPLAMI</t>
  </si>
  <si>
    <t>Sıra No</t>
  </si>
  <si>
    <t>Günlük Yevmiyesi</t>
  </si>
  <si>
    <t>Çalıştığı Gün</t>
  </si>
  <si>
    <t>TOPLAM İSTİHKAK</t>
  </si>
  <si>
    <t xml:space="preserve">İ Ş Ç İ N İ N  </t>
  </si>
  <si>
    <t>Adı ve Soyadı</t>
  </si>
  <si>
    <t>İ S T İ H K A K L A R</t>
  </si>
  <si>
    <t>Ssk.İşyeri No:</t>
  </si>
  <si>
    <t>Adresi:</t>
  </si>
  <si>
    <t>İşverenin Adı Soyadı ve Ünvanı:</t>
  </si>
  <si>
    <t>K E S İ N T İ L E R</t>
  </si>
  <si>
    <t>Ssk. ve İşsizlik Kesintileri</t>
  </si>
  <si>
    <t>G.Vergisi ve D.Vergisi Kesintileri</t>
  </si>
  <si>
    <t>İMZA</t>
  </si>
  <si>
    <t>PUANTAJ</t>
  </si>
  <si>
    <t>GÜNLÜK DEĞERLER</t>
  </si>
  <si>
    <t>AYLIK DEĞERLER ve NİSBETLER</t>
  </si>
  <si>
    <t>Ssk.ya Esas Gün</t>
  </si>
  <si>
    <t xml:space="preserve"> EK ÖDENEKLER</t>
  </si>
  <si>
    <t>PA R A M E T R E L E R</t>
  </si>
  <si>
    <t>İŞSİZLİK İŞVEREN HİSSESİ</t>
  </si>
  <si>
    <t>H İ Z M ET   E R B A B I   Ü C R E T   B O R D R O S U</t>
  </si>
  <si>
    <t>Sadece Gv+Dv.sine       Tabi       ÖDENEK-2 (……………)</t>
  </si>
  <si>
    <t>G.VERGİSİ KESSİNMİ ? ( E veya H )</t>
  </si>
  <si>
    <t>D.VERGİSİ KESSİNMİ ? ( E veya H )</t>
  </si>
  <si>
    <t>F.Mesai Saati</t>
  </si>
  <si>
    <t>Bordronun Ait Olduğu AY ve YIL:</t>
  </si>
  <si>
    <t>E</t>
  </si>
  <si>
    <t>Sayfa No:</t>
  </si>
  <si>
    <t>İŞVEREN MALİYETİ</t>
  </si>
  <si>
    <t>GVK.nun 103.Maddesindeki 1.Dilim Oranı</t>
  </si>
  <si>
    <t>Kendisi için Asgari Geçim Oranı</t>
  </si>
  <si>
    <t xml:space="preserve">Bir Eş (Çalışmayan ve herhangibir geliri bulunmayan) için Asgari Geçim Oranı </t>
  </si>
  <si>
    <t>İlk İki Çocuk için Asgari Geçim Oranı (Herbiri için ayrı ayrı)</t>
  </si>
  <si>
    <t>İlk İki Çocuktan sonraki Çocuklar için Asgari Geçim Oranı (Herbiri için ayrı ayrı)</t>
  </si>
  <si>
    <t>Eş Dahil</t>
  </si>
  <si>
    <t>Eş Hariç</t>
  </si>
  <si>
    <t>Çocuk Sayısı</t>
  </si>
  <si>
    <t>16 Yaşından Büyük İşçilerde</t>
  </si>
  <si>
    <r>
      <t xml:space="preserve">SABİTLER </t>
    </r>
    <r>
      <rPr>
        <b/>
        <sz val="9"/>
        <color indexed="16"/>
        <rFont val="Arial Tur"/>
        <family val="0"/>
      </rPr>
      <t>(Gerektiğinde Değiştirilecektir)</t>
    </r>
  </si>
  <si>
    <t>İşçiye Göre, Ssk. ve İşsizlik MATRAHI</t>
  </si>
  <si>
    <t xml:space="preserve">                                                                                                                NAKLİ YEKÜN</t>
  </si>
  <si>
    <t>Medeni Hal Seçenekleri Seç</t>
  </si>
  <si>
    <t>Asgari Ücret (Aylık)</t>
  </si>
  <si>
    <t xml:space="preserve">Aylık Asgari Geçim İndirimi Tutarları                                             </t>
  </si>
  <si>
    <r>
      <rPr>
        <b/>
        <i/>
        <sz val="9"/>
        <rFont val="Arial Tur"/>
        <family val="0"/>
      </rPr>
      <t>Asgari Geçim İndirimi</t>
    </r>
    <r>
      <rPr>
        <b/>
        <i/>
        <sz val="9"/>
        <color indexed="10"/>
        <rFont val="Arial Tur"/>
        <family val="0"/>
      </rPr>
      <t xml:space="preserve"> Parametreleri</t>
    </r>
  </si>
  <si>
    <t>Ssk. İşçi Hissesi % 14</t>
  </si>
  <si>
    <t xml:space="preserve">Ssk. İşveren Hissesi    </t>
  </si>
  <si>
    <t>İşsizlik Primi İşçi Hissesi % 1</t>
  </si>
  <si>
    <t>İşsizlik Primi İşveren Hissesi   % 2</t>
  </si>
  <si>
    <t>G.Vergisi MATRAHI</t>
  </si>
  <si>
    <t>FAZLA MESAİ TUTARI</t>
  </si>
  <si>
    <t>NORMAL AYLIK TUTARI</t>
  </si>
  <si>
    <t>Ssk+İşz.+Gv +Dv.sine Tabi ÖDENEK-1 (……………)</t>
  </si>
  <si>
    <t>Hesaplanan Gelir Vergisi Tutarı</t>
  </si>
  <si>
    <t>ÖDENECEK Gelir Vergisi Tutarı</t>
  </si>
  <si>
    <t>Damga Vergisi Tutarı</t>
  </si>
  <si>
    <t>ELE GEÇEN</t>
  </si>
  <si>
    <t>Yok</t>
  </si>
  <si>
    <t>İndirimsiz</t>
  </si>
  <si>
    <r>
      <t>Çocuk Sayısı Seç</t>
    </r>
    <r>
      <rPr>
        <b/>
        <sz val="7"/>
        <rFont val="Times New Roman"/>
        <family val="1"/>
      </rPr>
      <t xml:space="preserve">                    </t>
    </r>
  </si>
  <si>
    <t>Sadece Beyaz hücrelere veri girebilirsiniz.</t>
  </si>
  <si>
    <r>
      <t>Not:</t>
    </r>
    <r>
      <rPr>
        <b/>
        <i/>
        <sz val="9"/>
        <rFont val="Times New Roman"/>
        <family val="1"/>
      </rPr>
      <t xml:space="preserve"> Asgari Ücret, SSK. Tabanının Üzerinde İlan Edilirse, B5 ve B6' ya ASGARİ ÜCRET TUTARINI Aynen Gir !  </t>
    </r>
  </si>
  <si>
    <t>*</t>
  </si>
  <si>
    <t>Asgari Geçim İndirimi</t>
  </si>
  <si>
    <t>*NOT: Bu sayfadaki asgari ücrete, yılbaşındaki yazılacak, yılsonuna kadar aynı kalacaktır.</t>
  </si>
  <si>
    <r>
      <t xml:space="preserve">Not: </t>
    </r>
    <r>
      <rPr>
        <b/>
        <i/>
        <sz val="11"/>
        <color indexed="16"/>
        <rFont val="Times New Roman"/>
        <family val="1"/>
      </rPr>
      <t xml:space="preserve">Programın bir sonraki yıl için güncellenmesini sizde yapabilirsiniz, </t>
    </r>
  </si>
  <si>
    <t>İşsizlik Primi İşveren Hissesi      % 2</t>
  </si>
  <si>
    <t>İşsizlik Primi İşçi Hissesi    % 1</t>
  </si>
  <si>
    <t>S-1</t>
  </si>
  <si>
    <t>S-2</t>
  </si>
  <si>
    <t xml:space="preserve">SGK Sicil No       </t>
  </si>
  <si>
    <t>DİLİMLER</t>
  </si>
  <si>
    <t>Sonu</t>
  </si>
  <si>
    <t>Oran</t>
  </si>
  <si>
    <t>dan</t>
  </si>
  <si>
    <t>e kadar</t>
  </si>
  <si>
    <t>den</t>
  </si>
  <si>
    <t>TL. fazlası</t>
  </si>
  <si>
    <t>den fazlasının</t>
  </si>
  <si>
    <t>Başlangıcı</t>
  </si>
  <si>
    <t>Yılına Ait "GELİR VERGİSİ TARİFESİ"</t>
  </si>
  <si>
    <t>NOTLAR:</t>
  </si>
  <si>
    <r>
      <t xml:space="preserve"> </t>
    </r>
    <r>
      <rPr>
        <b/>
        <sz val="9"/>
        <rFont val="Times New Roman"/>
        <family val="1"/>
      </rPr>
      <t>1)</t>
    </r>
    <r>
      <rPr>
        <b/>
        <i/>
        <sz val="9"/>
        <rFont val="Times New Roman"/>
        <family val="1"/>
      </rPr>
      <t xml:space="preserve"> </t>
    </r>
    <r>
      <rPr>
        <b/>
        <i/>
        <sz val="9"/>
        <color indexed="14"/>
        <rFont val="Times New Roman"/>
        <family val="1"/>
      </rPr>
      <t>"</t>
    </r>
    <r>
      <rPr>
        <b/>
        <i/>
        <sz val="9"/>
        <color indexed="10"/>
        <rFont val="Times New Roman"/>
        <family val="1"/>
      </rPr>
      <t>Medeni Hal</t>
    </r>
    <r>
      <rPr>
        <b/>
        <i/>
        <sz val="9"/>
        <color indexed="14"/>
        <rFont val="Times New Roman"/>
        <family val="1"/>
      </rPr>
      <t>" sütununda, indirim uygulanmayacak hallerde "</t>
    </r>
    <r>
      <rPr>
        <b/>
        <i/>
        <sz val="9"/>
        <color indexed="10"/>
        <rFont val="Times New Roman"/>
        <family val="1"/>
      </rPr>
      <t>İndirimsiz</t>
    </r>
    <r>
      <rPr>
        <b/>
        <i/>
        <sz val="9"/>
        <color indexed="14"/>
        <rFont val="Times New Roman"/>
        <family val="1"/>
      </rPr>
      <t>" seçeneği seçilmelidir. (Mesela, 2 ayrı işverende çalışma durumunda gerekebileceği gibi).</t>
    </r>
  </si>
  <si>
    <r>
      <t xml:space="preserve"> </t>
    </r>
    <r>
      <rPr>
        <b/>
        <sz val="9"/>
        <rFont val="Times New Roman"/>
        <family val="1"/>
      </rPr>
      <t>2)</t>
    </r>
    <r>
      <rPr>
        <b/>
        <i/>
        <sz val="9"/>
        <rFont val="Times New Roman"/>
        <family val="1"/>
      </rPr>
      <t xml:space="preserve"> </t>
    </r>
    <r>
      <rPr>
        <b/>
        <i/>
        <sz val="9"/>
        <color indexed="62"/>
        <rFont val="Times New Roman"/>
        <family val="1"/>
      </rPr>
      <t>"</t>
    </r>
    <r>
      <rPr>
        <b/>
        <i/>
        <sz val="9"/>
        <color indexed="10"/>
        <rFont val="Times New Roman"/>
        <family val="1"/>
      </rPr>
      <t xml:space="preserve">Bekar </t>
    </r>
    <r>
      <rPr>
        <b/>
        <i/>
        <sz val="9"/>
        <color indexed="62"/>
        <rFont val="Times New Roman"/>
        <family val="1"/>
      </rPr>
      <t xml:space="preserve">/ </t>
    </r>
    <r>
      <rPr>
        <b/>
        <i/>
        <sz val="9"/>
        <color indexed="10"/>
        <rFont val="Times New Roman"/>
        <family val="1"/>
      </rPr>
      <t xml:space="preserve">Boşanmış </t>
    </r>
    <r>
      <rPr>
        <b/>
        <i/>
        <sz val="9"/>
        <color indexed="62"/>
        <rFont val="Times New Roman"/>
        <family val="1"/>
      </rPr>
      <t xml:space="preserve">/ </t>
    </r>
    <r>
      <rPr>
        <b/>
        <i/>
        <sz val="9"/>
        <color indexed="10"/>
        <rFont val="Times New Roman"/>
        <family val="1"/>
      </rPr>
      <t xml:space="preserve">Dul </t>
    </r>
    <r>
      <rPr>
        <b/>
        <i/>
        <sz val="9"/>
        <color indexed="62"/>
        <rFont val="Times New Roman"/>
        <family val="1"/>
      </rPr>
      <t xml:space="preserve">/ </t>
    </r>
    <r>
      <rPr>
        <b/>
        <i/>
        <sz val="9"/>
        <color indexed="10"/>
        <rFont val="Times New Roman"/>
        <family val="1"/>
      </rPr>
      <t>Eşi çalışan</t>
    </r>
    <r>
      <rPr>
        <b/>
        <i/>
        <sz val="9"/>
        <color indexed="62"/>
        <rFont val="Times New Roman"/>
        <family val="1"/>
      </rPr>
      <t>" için "</t>
    </r>
    <r>
      <rPr>
        <b/>
        <i/>
        <sz val="9"/>
        <color indexed="10"/>
        <rFont val="Times New Roman"/>
        <family val="1"/>
      </rPr>
      <t>Eş Hariç</t>
    </r>
    <r>
      <rPr>
        <b/>
        <i/>
        <sz val="9"/>
        <color indexed="62"/>
        <rFont val="Times New Roman"/>
        <family val="1"/>
      </rPr>
      <t>" i seçiniz.</t>
    </r>
  </si>
  <si>
    <r>
      <t xml:space="preserve"> </t>
    </r>
    <r>
      <rPr>
        <b/>
        <sz val="9"/>
        <rFont val="Times New Roman"/>
        <family val="1"/>
      </rPr>
      <t>4)</t>
    </r>
    <r>
      <rPr>
        <b/>
        <i/>
        <sz val="9"/>
        <rFont val="Times New Roman"/>
        <family val="1"/>
      </rPr>
      <t xml:space="preserve"> </t>
    </r>
    <r>
      <rPr>
        <b/>
        <i/>
        <sz val="9"/>
        <color indexed="62"/>
        <rFont val="Times New Roman"/>
        <family val="1"/>
      </rPr>
      <t>"</t>
    </r>
    <r>
      <rPr>
        <b/>
        <i/>
        <sz val="9"/>
        <color indexed="10"/>
        <rFont val="Times New Roman"/>
        <family val="1"/>
      </rPr>
      <t>Kıst</t>
    </r>
    <r>
      <rPr>
        <b/>
        <i/>
        <sz val="9"/>
        <color indexed="62"/>
        <rFont val="Times New Roman"/>
        <family val="1"/>
      </rPr>
      <t>" durumunda da, program Tebliğe göre hesaplama yapar.</t>
    </r>
  </si>
  <si>
    <r>
      <t xml:space="preserve"> </t>
    </r>
    <r>
      <rPr>
        <b/>
        <sz val="9"/>
        <rFont val="Times New Roman"/>
        <family val="1"/>
      </rPr>
      <t>5)</t>
    </r>
    <r>
      <rPr>
        <b/>
        <i/>
        <sz val="9"/>
        <rFont val="Times New Roman"/>
        <family val="1"/>
      </rPr>
      <t xml:space="preserve"> </t>
    </r>
    <r>
      <rPr>
        <b/>
        <i/>
        <sz val="9"/>
        <color indexed="14"/>
        <rFont val="Times New Roman"/>
        <family val="1"/>
      </rPr>
      <t>"</t>
    </r>
    <r>
      <rPr>
        <b/>
        <i/>
        <sz val="9"/>
        <color indexed="10"/>
        <rFont val="Times New Roman"/>
        <family val="1"/>
      </rPr>
      <t>Çocuk Sayısı Seç</t>
    </r>
    <r>
      <rPr>
        <b/>
        <i/>
        <sz val="9"/>
        <color indexed="14"/>
        <rFont val="Times New Roman"/>
        <family val="1"/>
      </rPr>
      <t>" sütununda, bekar ve çocuğu olmayanlarda "</t>
    </r>
    <r>
      <rPr>
        <b/>
        <i/>
        <sz val="9"/>
        <color indexed="10"/>
        <rFont val="Times New Roman"/>
        <family val="1"/>
      </rPr>
      <t>Yok</t>
    </r>
    <r>
      <rPr>
        <b/>
        <i/>
        <sz val="9"/>
        <color indexed="14"/>
        <rFont val="Times New Roman"/>
        <family val="1"/>
      </rPr>
      <t>" u mutlaka seçin.</t>
    </r>
  </si>
  <si>
    <r>
      <t xml:space="preserve"> </t>
    </r>
    <r>
      <rPr>
        <b/>
        <sz val="9"/>
        <rFont val="Times New Roman"/>
        <family val="1"/>
      </rPr>
      <t>6)</t>
    </r>
    <r>
      <rPr>
        <b/>
        <i/>
        <sz val="9"/>
        <rFont val="Times New Roman"/>
        <family val="1"/>
      </rPr>
      <t xml:space="preserve"> </t>
    </r>
    <r>
      <rPr>
        <b/>
        <i/>
        <sz val="9"/>
        <color indexed="62"/>
        <rFont val="Times New Roman"/>
        <family val="1"/>
      </rPr>
      <t>"</t>
    </r>
    <r>
      <rPr>
        <b/>
        <i/>
        <sz val="9"/>
        <color indexed="10"/>
        <rFont val="Times New Roman"/>
        <family val="1"/>
      </rPr>
      <t>Ekran Ayarınızı</t>
    </r>
    <r>
      <rPr>
        <b/>
        <i/>
        <sz val="9"/>
        <color indexed="62"/>
        <rFont val="Times New Roman"/>
        <family val="1"/>
      </rPr>
      <t xml:space="preserve">" iyi görünüm için, </t>
    </r>
    <r>
      <rPr>
        <b/>
        <i/>
        <sz val="9"/>
        <color indexed="10"/>
        <rFont val="Times New Roman"/>
        <family val="1"/>
      </rPr>
      <t>1152 X 864</t>
    </r>
    <r>
      <rPr>
        <b/>
        <i/>
        <sz val="9"/>
        <color indexed="62"/>
        <rFont val="Times New Roman"/>
        <family val="1"/>
      </rPr>
      <t xml:space="preserve"> e almanız tavsiye olunur. </t>
    </r>
  </si>
  <si>
    <r>
      <t xml:space="preserve"> </t>
    </r>
    <r>
      <rPr>
        <b/>
        <sz val="9"/>
        <rFont val="Times New Roman"/>
        <family val="1"/>
      </rPr>
      <t>7)</t>
    </r>
    <r>
      <rPr>
        <b/>
        <i/>
        <sz val="9"/>
        <rFont val="Times New Roman"/>
        <family val="1"/>
      </rPr>
      <t xml:space="preserve"> </t>
    </r>
    <r>
      <rPr>
        <b/>
        <i/>
        <sz val="9"/>
        <color indexed="62"/>
        <rFont val="Times New Roman"/>
        <family val="1"/>
      </rPr>
      <t>"</t>
    </r>
    <r>
      <rPr>
        <b/>
        <i/>
        <sz val="9"/>
        <color indexed="10"/>
        <rFont val="Times New Roman"/>
        <family val="1"/>
      </rPr>
      <t>P</t>
    </r>
    <r>
      <rPr>
        <b/>
        <i/>
        <sz val="9"/>
        <color indexed="62"/>
        <rFont val="Times New Roman"/>
        <family val="1"/>
      </rPr>
      <t>", "</t>
    </r>
    <r>
      <rPr>
        <b/>
        <i/>
        <sz val="9"/>
        <color indexed="10"/>
        <rFont val="Times New Roman"/>
        <family val="1"/>
      </rPr>
      <t>MH</t>
    </r>
    <r>
      <rPr>
        <b/>
        <i/>
        <sz val="9"/>
        <color indexed="62"/>
        <rFont val="Times New Roman"/>
        <family val="1"/>
      </rPr>
      <t>" ve "</t>
    </r>
    <r>
      <rPr>
        <b/>
        <i/>
        <sz val="9"/>
        <color indexed="10"/>
        <rFont val="Times New Roman"/>
        <family val="1"/>
      </rPr>
      <t>GTV</t>
    </r>
    <r>
      <rPr>
        <b/>
        <i/>
        <sz val="9"/>
        <color indexed="62"/>
        <rFont val="Times New Roman"/>
        <family val="1"/>
      </rPr>
      <t xml:space="preserve">" sayfaları, çalışma alanınız değildir. Asgari ücret, AGİ oranları ve Vergi Tarifesi değiştiğinde, yeni değerler o sayfalara girilecek.  </t>
    </r>
  </si>
  <si>
    <t>Mevzuat Değiştikce Düzeltilecekler:</t>
  </si>
  <si>
    <t xml:space="preserve">Bunun için, bu sayfadaki ve MH (Medeni hal) sayfasındaki beyaz hücrelerde bulunan parametreler ile  </t>
  </si>
  <si>
    <t>Yılına Ait "DAMGA VERGİSİ ORANI"</t>
  </si>
  <si>
    <t>Gelir Vergisi MATRAHLARI</t>
  </si>
  <si>
    <t>Bu Ayki Kümülatif</t>
  </si>
  <si>
    <r>
      <t xml:space="preserve"> </t>
    </r>
    <r>
      <rPr>
        <b/>
        <sz val="9"/>
        <rFont val="Times New Roman"/>
        <family val="1"/>
      </rPr>
      <t>3)</t>
    </r>
    <r>
      <rPr>
        <b/>
        <i/>
        <sz val="9"/>
        <color indexed="14"/>
        <rFont val="Times New Roman"/>
        <family val="1"/>
      </rPr>
      <t xml:space="preserve"> "</t>
    </r>
    <r>
      <rPr>
        <b/>
        <i/>
        <sz val="9"/>
        <color indexed="10"/>
        <rFont val="Times New Roman"/>
        <family val="1"/>
      </rPr>
      <t>Verileri</t>
    </r>
    <r>
      <rPr>
        <b/>
        <i/>
        <sz val="9"/>
        <color indexed="14"/>
        <rFont val="Times New Roman"/>
        <family val="1"/>
      </rPr>
      <t xml:space="preserve">" </t>
    </r>
    <r>
      <rPr>
        <b/>
        <i/>
        <sz val="9"/>
        <rFont val="Times New Roman"/>
        <family val="1"/>
      </rPr>
      <t>sadece mavi hücrelere giriniz.</t>
    </r>
  </si>
  <si>
    <t>Önceki Ay Kümülatifini Giriniz</t>
  </si>
  <si>
    <r>
      <t xml:space="preserve"> 8</t>
    </r>
    <r>
      <rPr>
        <b/>
        <sz val="9"/>
        <rFont val="Times New Roman"/>
        <family val="1"/>
      </rPr>
      <t>)</t>
    </r>
    <r>
      <rPr>
        <b/>
        <i/>
        <sz val="9"/>
        <rFont val="Times New Roman"/>
        <family val="1"/>
      </rPr>
      <t xml:space="preserve">  Gerekiyorsa "</t>
    </r>
    <r>
      <rPr>
        <b/>
        <sz val="9"/>
        <rFont val="Times New Roman"/>
        <family val="1"/>
      </rPr>
      <t>Önceki ay Kümülatif G.V.Matrahları</t>
    </r>
    <r>
      <rPr>
        <b/>
        <i/>
        <sz val="9"/>
        <rFont val="Times New Roman"/>
        <family val="1"/>
      </rPr>
      <t>" nı giriniz.</t>
    </r>
  </si>
  <si>
    <t>1.Dilim</t>
  </si>
  <si>
    <t>2.Dilim</t>
  </si>
  <si>
    <t>3.Dilim</t>
  </si>
  <si>
    <t>4.Dilim</t>
  </si>
  <si>
    <t>SONUÇ</t>
  </si>
  <si>
    <t>Önceki Kümülatifin G.V.si</t>
  </si>
  <si>
    <t>Varsa, Önceki Ay Kümülatifini Giriniz</t>
  </si>
  <si>
    <t>SGK.İŞVEREN HİSSESİ NİSBETİ</t>
  </si>
  <si>
    <t>SGK.AYLIK TABAN ÜCRET</t>
  </si>
  <si>
    <t>SGK.AYLIK TAVAN ÜCRET</t>
  </si>
  <si>
    <t>SGK PRİMİNE ESAS GÜN SAYISI</t>
  </si>
  <si>
    <t>SGK.GÜNLÜK TABAN YEVMİYE</t>
  </si>
  <si>
    <t>SGK.GÜNLÜK TAVAN YEVMİYE</t>
  </si>
  <si>
    <t>GVT sayfasındaki dilimlerle oranların vakti geldiğinde düzeltilmesi lazımdır.         Esin KILIÇ</t>
  </si>
  <si>
    <t>Esin KILIÇ</t>
  </si>
  <si>
    <t>TC Kimlik No</t>
  </si>
  <si>
    <t>25</t>
  </si>
  <si>
    <t xml:space="preserve">den </t>
  </si>
  <si>
    <t>180 000 TL.sı için</t>
  </si>
  <si>
    <t xml:space="preserve"> </t>
  </si>
  <si>
    <t>24.000 TL.sı için</t>
  </si>
  <si>
    <t>130.000 TL.sı için</t>
  </si>
  <si>
    <t>650.000 TL.sı için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</si>
</sst>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mmm/yyyy"/>
    <numFmt numFmtId="190" formatCode="#.##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0000"/>
    <numFmt numFmtId="195" formatCode="[$¥€-2]\ #,##0.00_);[Red]\([$€-2]\ #,##0.00\)"/>
    <numFmt numFmtId="196" formatCode="#,##0.00\ &quot;TL&quot;"/>
    <numFmt numFmtId="197" formatCode="00000"/>
    <numFmt numFmtId="198" formatCode="0.000%"/>
    <numFmt numFmtId="199" formatCode="0.0000%"/>
    <numFmt numFmtId="200" formatCode="[$-41F]mmmm\ yy;@"/>
    <numFmt numFmtId="201" formatCode="[$-41F]d\ mmmm\ yyyy\ h:mm;@"/>
  </numFmts>
  <fonts count="111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7"/>
      <color indexed="12"/>
      <name val="Times New Roman"/>
      <family val="1"/>
    </font>
    <font>
      <u val="single"/>
      <sz val="7"/>
      <color indexed="12"/>
      <name val="Times New Roman"/>
      <family val="1"/>
    </font>
    <font>
      <sz val="6"/>
      <name val="Times New Roman"/>
      <family val="1"/>
    </font>
    <font>
      <b/>
      <i/>
      <sz val="6"/>
      <name val="Times New Roman"/>
      <family val="1"/>
    </font>
    <font>
      <b/>
      <sz val="6"/>
      <name val="Times New Roman"/>
      <family val="1"/>
    </font>
    <font>
      <b/>
      <sz val="7"/>
      <color indexed="8"/>
      <name val="Times New Roman"/>
      <family val="1"/>
    </font>
    <font>
      <u val="single"/>
      <sz val="7"/>
      <name val="Times New Roman"/>
      <family val="1"/>
    </font>
    <font>
      <b/>
      <sz val="7"/>
      <color indexed="10"/>
      <name val="Times New Roman"/>
      <family val="1"/>
    </font>
    <font>
      <b/>
      <sz val="10"/>
      <name val="Arial Tur"/>
      <family val="0"/>
    </font>
    <font>
      <sz val="11"/>
      <name val="Times New Roman"/>
      <family val="1"/>
    </font>
    <font>
      <sz val="12"/>
      <name val="Arial Tur"/>
      <family val="2"/>
    </font>
    <font>
      <sz val="7.5"/>
      <name val="Arial Tur"/>
      <family val="2"/>
    </font>
    <font>
      <b/>
      <sz val="14"/>
      <color indexed="12"/>
      <name val="Arial Tur"/>
      <family val="0"/>
    </font>
    <font>
      <b/>
      <sz val="16"/>
      <color indexed="12"/>
      <name val="Arial Tur"/>
      <family val="0"/>
    </font>
    <font>
      <b/>
      <sz val="9"/>
      <color indexed="16"/>
      <name val="Arial Tur"/>
      <family val="0"/>
    </font>
    <font>
      <sz val="11"/>
      <name val="Arial Tur"/>
      <family val="2"/>
    </font>
    <font>
      <b/>
      <i/>
      <sz val="10"/>
      <color indexed="16"/>
      <name val="Arial Tur"/>
      <family val="0"/>
    </font>
    <font>
      <b/>
      <sz val="7"/>
      <color indexed="16"/>
      <name val="Times New Roman"/>
      <family val="1"/>
    </font>
    <font>
      <b/>
      <sz val="9"/>
      <name val="Arial Tur"/>
      <family val="2"/>
    </font>
    <font>
      <b/>
      <i/>
      <sz val="9"/>
      <name val="Arial Tur"/>
      <family val="0"/>
    </font>
    <font>
      <b/>
      <i/>
      <sz val="9"/>
      <color indexed="10"/>
      <name val="Arial Tur"/>
      <family val="0"/>
    </font>
    <font>
      <i/>
      <sz val="9"/>
      <name val="Arial Tur"/>
      <family val="0"/>
    </font>
    <font>
      <b/>
      <sz val="9"/>
      <color indexed="10"/>
      <name val="Arial Tur"/>
      <family val="0"/>
    </font>
    <font>
      <sz val="9"/>
      <name val="Arial Tur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4"/>
      <name val="Times New Roman"/>
      <family val="1"/>
    </font>
    <font>
      <b/>
      <i/>
      <sz val="9"/>
      <color indexed="62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b/>
      <i/>
      <sz val="9"/>
      <color indexed="10"/>
      <name val="Times New Roman"/>
      <family val="1"/>
    </font>
    <font>
      <b/>
      <sz val="14"/>
      <name val="Arial Tur"/>
      <family val="0"/>
    </font>
    <font>
      <b/>
      <sz val="12"/>
      <color indexed="12"/>
      <name val="Arial Tur"/>
      <family val="0"/>
    </font>
    <font>
      <b/>
      <i/>
      <sz val="11"/>
      <color indexed="12"/>
      <name val="Arial Tur"/>
      <family val="0"/>
    </font>
    <font>
      <b/>
      <i/>
      <sz val="14"/>
      <color indexed="12"/>
      <name val="Bookman Old Style"/>
      <family val="1"/>
    </font>
    <font>
      <b/>
      <i/>
      <sz val="11"/>
      <color indexed="16"/>
      <name val="Times New Roman"/>
      <family val="1"/>
    </font>
    <font>
      <b/>
      <sz val="16"/>
      <color indexed="12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6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2"/>
      <name val="Arial Tur"/>
      <family val="0"/>
    </font>
    <font>
      <b/>
      <sz val="10"/>
      <name val="Arial"/>
      <family val="2"/>
    </font>
    <font>
      <b/>
      <sz val="10"/>
      <color indexed="12"/>
      <name val="Arial Tur"/>
      <family val="0"/>
    </font>
    <font>
      <b/>
      <u val="single"/>
      <sz val="7"/>
      <name val="Times New Roman"/>
      <family val="1"/>
    </font>
    <font>
      <b/>
      <i/>
      <sz val="12"/>
      <color indexed="53"/>
      <name val="Trebuchet MS"/>
      <family val="2"/>
    </font>
    <font>
      <i/>
      <sz val="6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8"/>
      <color indexed="16"/>
      <name val="Times New Roman"/>
      <family val="1"/>
    </font>
    <font>
      <b/>
      <sz val="11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9"/>
      <color indexed="30"/>
      <name val="Times New Roman"/>
      <family val="1"/>
    </font>
    <font>
      <b/>
      <sz val="8"/>
      <color indexed="10"/>
      <name val="Times New Roman"/>
      <family val="1"/>
    </font>
    <font>
      <sz val="7"/>
      <color indexed="9"/>
      <name val="Times New Roman"/>
      <family val="1"/>
    </font>
    <font>
      <sz val="9"/>
      <color indexed="9"/>
      <name val="Times New Roman"/>
      <family val="1"/>
    </font>
    <font>
      <b/>
      <sz val="7"/>
      <color indexed="9"/>
      <name val="Times New Roman"/>
      <family val="1"/>
    </font>
    <font>
      <b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b/>
      <sz val="8"/>
      <color rgb="FFFF0000"/>
      <name val="Times New Roman"/>
      <family val="1"/>
    </font>
    <font>
      <sz val="7"/>
      <color theme="0"/>
      <name val="Times New Roman"/>
      <family val="1"/>
    </font>
    <font>
      <sz val="9"/>
      <color theme="0"/>
      <name val="Times New Roman"/>
      <family val="1"/>
    </font>
    <font>
      <b/>
      <sz val="7"/>
      <color theme="0"/>
      <name val="Times New Roman"/>
      <family val="1"/>
    </font>
    <font>
      <b/>
      <sz val="8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5" fillId="19" borderId="5" applyNumberFormat="0" applyAlignment="0" applyProtection="0"/>
    <xf numFmtId="0" fontId="96" fillId="20" borderId="6" applyNumberFormat="0" applyAlignment="0" applyProtection="0"/>
    <xf numFmtId="0" fontId="97" fillId="19" borderId="6" applyNumberFormat="0" applyAlignment="0" applyProtection="0"/>
    <xf numFmtId="0" fontId="98" fillId="21" borderId="7" applyNumberFormat="0" applyAlignment="0" applyProtection="0"/>
    <xf numFmtId="0" fontId="9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23" borderId="0" applyNumberFormat="0" applyBorder="0" applyAlignment="0" applyProtection="0"/>
    <xf numFmtId="0" fontId="54" fillId="0" borderId="0">
      <alignment/>
      <protection/>
    </xf>
    <xf numFmtId="0" fontId="0" fillId="24" borderId="8" applyNumberFormat="0" applyFont="0" applyAlignment="0" applyProtection="0"/>
    <xf numFmtId="0" fontId="10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2" fillId="13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5" fillId="0" borderId="11" xfId="47" applyFont="1" applyBorder="1" applyAlignment="1" applyProtection="1">
      <alignment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10" xfId="47" applyFont="1" applyBorder="1" applyAlignment="1" applyProtection="1">
      <alignment vertical="center"/>
      <protection/>
    </xf>
    <xf numFmtId="0" fontId="20" fillId="0" borderId="0" xfId="47" applyFont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1" xfId="47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" fillId="0" borderId="0" xfId="47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25" fillId="31" borderId="10" xfId="0" applyNumberFormat="1" applyFont="1" applyFill="1" applyBorder="1" applyAlignment="1">
      <alignment horizontal="right" vertical="center" wrapText="1"/>
    </xf>
    <xf numFmtId="0" fontId="0" fillId="31" borderId="10" xfId="0" applyNumberFormat="1" applyFont="1" applyFill="1" applyBorder="1" applyAlignment="1">
      <alignment horizontal="center" vertical="center"/>
    </xf>
    <xf numFmtId="49" fontId="0" fillId="31" borderId="10" xfId="0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27" fillId="19" borderId="10" xfId="0" applyNumberFormat="1" applyFont="1" applyFill="1" applyBorder="1" applyAlignment="1">
      <alignment horizontal="right" vertical="center"/>
    </xf>
    <xf numFmtId="10" fontId="26" fillId="19" borderId="10" xfId="0" applyNumberFormat="1" applyFont="1" applyFill="1" applyBorder="1" applyAlignment="1">
      <alignment horizontal="right" vertical="center"/>
    </xf>
    <xf numFmtId="9" fontId="26" fillId="19" borderId="10" xfId="0" applyNumberFormat="1" applyFont="1" applyFill="1" applyBorder="1" applyAlignment="1">
      <alignment vertical="center"/>
    </xf>
    <xf numFmtId="10" fontId="26" fillId="19" borderId="10" xfId="0" applyNumberFormat="1" applyFont="1" applyFill="1" applyBorder="1" applyAlignment="1">
      <alignment vertical="center"/>
    </xf>
    <xf numFmtId="0" fontId="4" fillId="19" borderId="10" xfId="0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 wrapText="1"/>
    </xf>
    <xf numFmtId="1" fontId="37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" fontId="50" fillId="19" borderId="10" xfId="0" applyNumberFormat="1" applyFont="1" applyFill="1" applyBorder="1" applyAlignment="1" applyProtection="1">
      <alignment vertical="center"/>
      <protection locked="0"/>
    </xf>
    <xf numFmtId="4" fontId="50" fillId="19" borderId="10" xfId="0" applyNumberFormat="1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3" fillId="0" borderId="0" xfId="49" applyFont="1">
      <alignment/>
      <protection/>
    </xf>
    <xf numFmtId="0" fontId="53" fillId="0" borderId="10" xfId="49" applyFont="1" applyBorder="1" applyAlignment="1">
      <alignment horizontal="center"/>
      <protection/>
    </xf>
    <xf numFmtId="3" fontId="53" fillId="0" borderId="10" xfId="49" applyNumberFormat="1" applyFont="1" applyBorder="1">
      <alignment/>
      <protection/>
    </xf>
    <xf numFmtId="3" fontId="56" fillId="19" borderId="10" xfId="49" applyNumberFormat="1" applyFont="1" applyFill="1" applyBorder="1">
      <alignment/>
      <protection/>
    </xf>
    <xf numFmtId="9" fontId="56" fillId="19" borderId="10" xfId="49" applyNumberFormat="1" applyFont="1" applyFill="1" applyBorder="1" applyAlignment="1">
      <alignment horizontal="center"/>
      <protection/>
    </xf>
    <xf numFmtId="0" fontId="55" fillId="19" borderId="10" xfId="0" applyFont="1" applyFill="1" applyBorder="1" applyAlignment="1">
      <alignment horizontal="center"/>
    </xf>
    <xf numFmtId="3" fontId="53" fillId="19" borderId="10" xfId="49" applyNumberFormat="1" applyFont="1" applyFill="1" applyBorder="1">
      <alignment/>
      <protection/>
    </xf>
    <xf numFmtId="0" fontId="57" fillId="0" borderId="0" xfId="0" applyFont="1" applyAlignment="1">
      <alignment/>
    </xf>
    <xf numFmtId="4" fontId="13" fillId="0" borderId="0" xfId="0" applyNumberFormat="1" applyFont="1" applyBorder="1" applyAlignment="1">
      <alignment horizontal="right" vertical="center"/>
    </xf>
    <xf numFmtId="4" fontId="52" fillId="0" borderId="0" xfId="0" applyNumberFormat="1" applyFont="1" applyBorder="1" applyAlignment="1">
      <alignment horizontal="right" vertical="center"/>
    </xf>
    <xf numFmtId="2" fontId="13" fillId="32" borderId="0" xfId="0" applyNumberFormat="1" applyFont="1" applyFill="1" applyAlignment="1">
      <alignment vertical="center"/>
    </xf>
    <xf numFmtId="49" fontId="13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vertical="center"/>
    </xf>
    <xf numFmtId="4" fontId="56" fillId="19" borderId="10" xfId="49" applyNumberFormat="1" applyFont="1" applyFill="1" applyBorder="1">
      <alignment/>
      <protection/>
    </xf>
    <xf numFmtId="0" fontId="60" fillId="0" borderId="10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" fontId="11" fillId="0" borderId="10" xfId="0" applyNumberFormat="1" applyFont="1" applyFill="1" applyBorder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11" fillId="12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4" fontId="11" fillId="12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4" fontId="8" fillId="34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34" borderId="14" xfId="0" applyNumberFormat="1" applyFont="1" applyFill="1" applyBorder="1" applyAlignment="1" applyProtection="1">
      <alignment horizontal="center" vertical="center"/>
      <protection locked="0"/>
    </xf>
    <xf numFmtId="4" fontId="8" fillId="34" borderId="14" xfId="0" applyNumberFormat="1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38" fillId="0" borderId="1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3" fillId="34" borderId="10" xfId="0" applyNumberFormat="1" applyFont="1" applyFill="1" applyBorder="1" applyAlignment="1" applyProtection="1">
      <alignment horizontal="left" vertical="center"/>
      <protection locked="0"/>
    </xf>
    <xf numFmtId="0" fontId="63" fillId="34" borderId="14" xfId="0" applyNumberFormat="1" applyFont="1" applyFill="1" applyBorder="1" applyAlignment="1" applyProtection="1">
      <alignment horizontal="left" vertical="center"/>
      <protection locked="0"/>
    </xf>
    <xf numFmtId="4" fontId="61" fillId="0" borderId="10" xfId="0" applyNumberFormat="1" applyFont="1" applyBorder="1" applyAlignment="1">
      <alignment vertical="center"/>
    </xf>
    <xf numFmtId="4" fontId="104" fillId="34" borderId="10" xfId="0" applyNumberFormat="1" applyFont="1" applyFill="1" applyBorder="1" applyAlignment="1" applyProtection="1">
      <alignment vertical="center"/>
      <protection locked="0"/>
    </xf>
    <xf numFmtId="4" fontId="104" fillId="34" borderId="14" xfId="0" applyNumberFormat="1" applyFont="1" applyFill="1" applyBorder="1" applyAlignment="1" applyProtection="1">
      <alignment vertical="center"/>
      <protection locked="0"/>
    </xf>
    <xf numFmtId="0" fontId="105" fillId="34" borderId="10" xfId="0" applyNumberFormat="1" applyFont="1" applyFill="1" applyBorder="1" applyAlignment="1" applyProtection="1">
      <alignment horizontal="center" vertical="center"/>
      <protection locked="0"/>
    </xf>
    <xf numFmtId="4" fontId="105" fillId="34" borderId="10" xfId="0" applyNumberFormat="1" applyFont="1" applyFill="1" applyBorder="1" applyAlignment="1" applyProtection="1">
      <alignment horizontal="right" vertical="center"/>
      <protection locked="0"/>
    </xf>
    <xf numFmtId="0" fontId="105" fillId="34" borderId="14" xfId="0" applyNumberFormat="1" applyFont="1" applyFill="1" applyBorder="1" applyAlignment="1" applyProtection="1">
      <alignment horizontal="center" vertical="center"/>
      <protection locked="0"/>
    </xf>
    <xf numFmtId="1" fontId="105" fillId="34" borderId="10" xfId="0" applyNumberFormat="1" applyFont="1" applyFill="1" applyBorder="1" applyAlignment="1" applyProtection="1">
      <alignment horizontal="center" vertical="center"/>
      <protection locked="0"/>
    </xf>
    <xf numFmtId="4" fontId="38" fillId="34" borderId="10" xfId="0" applyNumberFormat="1" applyFont="1" applyFill="1" applyBorder="1" applyAlignment="1">
      <alignment horizontal="right" vertical="center"/>
    </xf>
    <xf numFmtId="4" fontId="38" fillId="0" borderId="15" xfId="0" applyNumberFormat="1" applyFont="1" applyFill="1" applyBorder="1" applyAlignment="1">
      <alignment horizontal="right" vertical="center" wrapText="1"/>
    </xf>
    <xf numFmtId="196" fontId="0" fillId="0" borderId="0" xfId="0" applyNumberFormat="1" applyAlignment="1">
      <alignment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38" fillId="0" borderId="16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62" fillId="0" borderId="10" xfId="0" applyNumberFormat="1" applyFont="1" applyBorder="1" applyAlignment="1">
      <alignment horizontal="right" vertical="center" wrapText="1"/>
    </xf>
    <xf numFmtId="4" fontId="38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63" fillId="34" borderId="10" xfId="0" applyNumberFormat="1" applyFont="1" applyFill="1" applyBorder="1" applyAlignment="1" applyProtection="1">
      <alignment horizontal="center" vertical="center"/>
      <protection locked="0"/>
    </xf>
    <xf numFmtId="4" fontId="63" fillId="34" borderId="10" xfId="0" applyNumberFormat="1" applyFont="1" applyFill="1" applyBorder="1" applyAlignment="1" applyProtection="1">
      <alignment horizontal="right" vertical="center"/>
      <protection locked="0"/>
    </xf>
    <xf numFmtId="4" fontId="63" fillId="34" borderId="10" xfId="0" applyNumberFormat="1" applyFont="1" applyFill="1" applyBorder="1" applyAlignment="1" applyProtection="1">
      <alignment vertical="center"/>
      <protection locked="0"/>
    </xf>
    <xf numFmtId="4" fontId="42" fillId="0" borderId="10" xfId="0" applyNumberFormat="1" applyFont="1" applyFill="1" applyBorder="1" applyAlignment="1">
      <alignment horizontal="right" vertical="center"/>
    </xf>
    <xf numFmtId="4" fontId="64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right" vertical="center"/>
    </xf>
    <xf numFmtId="4" fontId="63" fillId="34" borderId="10" xfId="0" applyNumberFormat="1" applyFont="1" applyFill="1" applyBorder="1" applyAlignment="1">
      <alignment vertical="center"/>
    </xf>
    <xf numFmtId="4" fontId="65" fillId="0" borderId="15" xfId="0" applyNumberFormat="1" applyFont="1" applyFill="1" applyBorder="1" applyAlignment="1">
      <alignment horizontal="right" vertical="center" wrapText="1"/>
    </xf>
    <xf numFmtId="4" fontId="64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63" fillId="34" borderId="14" xfId="0" applyNumberFormat="1" applyFont="1" applyFill="1" applyBorder="1" applyAlignment="1" applyProtection="1">
      <alignment horizontal="center" vertical="center"/>
      <protection locked="0"/>
    </xf>
    <xf numFmtId="4" fontId="63" fillId="34" borderId="14" xfId="0" applyNumberFormat="1" applyFont="1" applyFill="1" applyBorder="1" applyAlignment="1" applyProtection="1">
      <alignment vertical="center"/>
      <protection locked="0"/>
    </xf>
    <xf numFmtId="4" fontId="42" fillId="0" borderId="14" xfId="0" applyNumberFormat="1" applyFont="1" applyFill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" fontId="42" fillId="0" borderId="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4" fontId="64" fillId="0" borderId="10" xfId="0" applyNumberFormat="1" applyFont="1" applyFill="1" applyBorder="1" applyAlignment="1">
      <alignment vertical="center"/>
    </xf>
    <xf numFmtId="4" fontId="42" fillId="0" borderId="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horizontal="right" vertical="center"/>
    </xf>
    <xf numFmtId="4" fontId="106" fillId="34" borderId="14" xfId="0" applyNumberFormat="1" applyFont="1" applyFill="1" applyBorder="1" applyAlignment="1" applyProtection="1">
      <alignment vertical="center"/>
      <protection locked="0"/>
    </xf>
    <xf numFmtId="4" fontId="64" fillId="34" borderId="10" xfId="0" applyNumberFormat="1" applyFont="1" applyFill="1" applyBorder="1" applyAlignment="1">
      <alignment horizontal="right" vertical="center"/>
    </xf>
    <xf numFmtId="4" fontId="64" fillId="0" borderId="15" xfId="0" applyNumberFormat="1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center" vertical="center"/>
    </xf>
    <xf numFmtId="4" fontId="42" fillId="0" borderId="0" xfId="0" applyNumberFormat="1" applyFont="1" applyFill="1" applyBorder="1" applyAlignment="1">
      <alignment vertical="center"/>
    </xf>
    <xf numFmtId="4" fontId="64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horizontal="right" vertical="center"/>
    </xf>
    <xf numFmtId="4" fontId="64" fillId="0" borderId="0" xfId="0" applyNumberFormat="1" applyFont="1" applyBorder="1" applyAlignment="1">
      <alignment vertical="center"/>
    </xf>
    <xf numFmtId="4" fontId="64" fillId="0" borderId="0" xfId="0" applyNumberFormat="1" applyFont="1" applyBorder="1" applyAlignment="1">
      <alignment horizontal="right" vertical="center"/>
    </xf>
    <xf numFmtId="197" fontId="63" fillId="34" borderId="10" xfId="0" applyNumberFormat="1" applyFont="1" applyFill="1" applyBorder="1" applyAlignment="1" applyProtection="1">
      <alignment horizontal="center" vertical="center"/>
      <protection locked="0"/>
    </xf>
    <xf numFmtId="198" fontId="56" fillId="19" borderId="10" xfId="49" applyNumberFormat="1" applyFont="1" applyFill="1" applyBorder="1">
      <alignment/>
      <protection/>
    </xf>
    <xf numFmtId="49" fontId="12" fillId="0" borderId="0" xfId="0" applyNumberFormat="1" applyFont="1" applyFill="1" applyBorder="1" applyAlignment="1">
      <alignment vertical="center"/>
    </xf>
    <xf numFmtId="49" fontId="38" fillId="35" borderId="15" xfId="0" applyNumberFormat="1" applyFont="1" applyFill="1" applyBorder="1" applyAlignment="1" applyProtection="1">
      <alignment horizontal="center" vertical="center"/>
      <protection locked="0"/>
    </xf>
    <xf numFmtId="49" fontId="38" fillId="35" borderId="10" xfId="0" applyNumberFormat="1" applyFont="1" applyFill="1" applyBorder="1" applyAlignment="1" applyProtection="1">
      <alignment horizontal="center" vertical="center"/>
      <protection locked="0"/>
    </xf>
    <xf numFmtId="0" fontId="38" fillId="35" borderId="10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8" fillId="0" borderId="0" xfId="0" applyFont="1" applyAlignment="1">
      <alignment vertical="center"/>
    </xf>
    <xf numFmtId="0" fontId="108" fillId="0" borderId="0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7" fillId="0" borderId="0" xfId="0" applyFont="1" applyAlignment="1">
      <alignment vertical="center"/>
    </xf>
    <xf numFmtId="49" fontId="107" fillId="0" borderId="0" xfId="0" applyNumberFormat="1" applyFont="1" applyAlignment="1">
      <alignment horizontal="right" vertical="center"/>
    </xf>
    <xf numFmtId="0" fontId="109" fillId="0" borderId="0" xfId="0" applyFont="1" applyBorder="1" applyAlignment="1">
      <alignment vertical="center"/>
    </xf>
    <xf numFmtId="49" fontId="109" fillId="0" borderId="0" xfId="0" applyNumberFormat="1" applyFont="1" applyAlignment="1">
      <alignment vertical="center"/>
    </xf>
    <xf numFmtId="0" fontId="108" fillId="0" borderId="0" xfId="0" applyFont="1" applyAlignment="1">
      <alignment horizontal="right" vertical="center"/>
    </xf>
    <xf numFmtId="3" fontId="53" fillId="0" borderId="10" xfId="49" applyNumberFormat="1" applyFont="1" applyBorder="1" applyAlignment="1">
      <alignment/>
      <protection/>
    </xf>
    <xf numFmtId="3" fontId="105" fillId="34" borderId="10" xfId="0" applyNumberFormat="1" applyFont="1" applyFill="1" applyBorder="1" applyAlignment="1" applyProtection="1">
      <alignment horizontal="center" vertical="center"/>
      <protection locked="0"/>
    </xf>
    <xf numFmtId="3" fontId="8" fillId="34" borderId="10" xfId="0" applyNumberFormat="1" applyFont="1" applyFill="1" applyBorder="1" applyAlignment="1" applyProtection="1">
      <alignment horizontal="center" vertical="center"/>
      <protection locked="0"/>
    </xf>
    <xf numFmtId="3" fontId="110" fillId="34" borderId="10" xfId="0" applyNumberFormat="1" applyFont="1" applyFill="1" applyBorder="1" applyAlignment="1" applyProtection="1">
      <alignment horizontal="center" vertical="center"/>
      <protection locked="0"/>
    </xf>
    <xf numFmtId="3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38" fillId="0" borderId="20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textRotation="90" wrapText="1"/>
    </xf>
    <xf numFmtId="0" fontId="42" fillId="0" borderId="19" xfId="0" applyFont="1" applyFill="1" applyBorder="1" applyAlignment="1">
      <alignment horizontal="center" vertical="center" textRotation="90" wrapText="1"/>
    </xf>
    <xf numFmtId="0" fontId="42" fillId="0" borderId="16" xfId="0" applyFont="1" applyFill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/>
    </xf>
    <xf numFmtId="2" fontId="13" fillId="32" borderId="0" xfId="0" applyNumberFormat="1" applyFont="1" applyFill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58" fillId="0" borderId="0" xfId="0" applyFont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 textRotation="90" wrapText="1"/>
    </xf>
    <xf numFmtId="0" fontId="31" fillId="0" borderId="16" xfId="0" applyFont="1" applyFill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0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200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200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/>
    </xf>
    <xf numFmtId="0" fontId="64" fillId="0" borderId="20" xfId="0" applyFont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8" fillId="19" borderId="22" xfId="0" applyFont="1" applyFill="1" applyBorder="1" applyAlignment="1">
      <alignment horizontal="center" vertical="center" wrapText="1"/>
    </xf>
    <xf numFmtId="0" fontId="48" fillId="19" borderId="20" xfId="0" applyFont="1" applyFill="1" applyBorder="1" applyAlignment="1">
      <alignment horizontal="center" vertical="center" wrapText="1"/>
    </xf>
    <xf numFmtId="0" fontId="48" fillId="19" borderId="23" xfId="0" applyFont="1" applyFill="1" applyBorder="1" applyAlignment="1">
      <alignment horizontal="center" vertical="center" wrapText="1"/>
    </xf>
    <xf numFmtId="0" fontId="48" fillId="19" borderId="13" xfId="0" applyFont="1" applyFill="1" applyBorder="1" applyAlignment="1">
      <alignment horizontal="center" vertical="center" wrapText="1"/>
    </xf>
    <xf numFmtId="0" fontId="48" fillId="19" borderId="0" xfId="0" applyFont="1" applyFill="1" applyBorder="1" applyAlignment="1">
      <alignment horizontal="center" vertical="center" wrapText="1"/>
    </xf>
    <xf numFmtId="0" fontId="48" fillId="19" borderId="24" xfId="0" applyFont="1" applyFill="1" applyBorder="1" applyAlignment="1">
      <alignment horizontal="center" vertical="center" wrapText="1"/>
    </xf>
    <xf numFmtId="0" fontId="48" fillId="19" borderId="21" xfId="0" applyFont="1" applyFill="1" applyBorder="1" applyAlignment="1">
      <alignment horizontal="center" vertical="center" wrapText="1"/>
    </xf>
    <xf numFmtId="0" fontId="48" fillId="19" borderId="11" xfId="0" applyFont="1" applyFill="1" applyBorder="1" applyAlignment="1">
      <alignment horizontal="center" vertical="center" wrapText="1"/>
    </xf>
    <xf numFmtId="0" fontId="48" fillId="19" borderId="15" xfId="0" applyFont="1" applyFill="1" applyBorder="1" applyAlignment="1">
      <alignment horizontal="center" vertical="center" wrapText="1"/>
    </xf>
    <xf numFmtId="10" fontId="66" fillId="19" borderId="0" xfId="0" applyNumberFormat="1" applyFont="1" applyFill="1" applyBorder="1" applyAlignment="1">
      <alignment horizontal="center" vertical="center"/>
    </xf>
    <xf numFmtId="0" fontId="46" fillId="19" borderId="22" xfId="0" applyFont="1" applyFill="1" applyBorder="1" applyAlignment="1">
      <alignment horizontal="center" vertical="center" wrapText="1"/>
    </xf>
    <xf numFmtId="0" fontId="46" fillId="19" borderId="23" xfId="0" applyFont="1" applyFill="1" applyBorder="1" applyAlignment="1">
      <alignment horizontal="center" vertical="center" wrapText="1"/>
    </xf>
    <xf numFmtId="0" fontId="46" fillId="19" borderId="13" xfId="0" applyFont="1" applyFill="1" applyBorder="1" applyAlignment="1">
      <alignment horizontal="center" vertical="center" wrapText="1"/>
    </xf>
    <xf numFmtId="0" fontId="46" fillId="19" borderId="24" xfId="0" applyFont="1" applyFill="1" applyBorder="1" applyAlignment="1">
      <alignment horizontal="center" vertical="center" wrapText="1"/>
    </xf>
    <xf numFmtId="0" fontId="46" fillId="19" borderId="21" xfId="0" applyFont="1" applyFill="1" applyBorder="1" applyAlignment="1">
      <alignment horizontal="center" vertical="center" wrapText="1"/>
    </xf>
    <xf numFmtId="0" fontId="46" fillId="19" borderId="1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57" fillId="0" borderId="0" xfId="0" applyFont="1" applyAlignment="1">
      <alignment horizontal="right" vertical="center"/>
    </xf>
    <xf numFmtId="3" fontId="53" fillId="0" borderId="17" xfId="49" applyNumberFormat="1" applyFont="1" applyBorder="1" applyAlignment="1">
      <alignment horizontal="left"/>
      <protection/>
    </xf>
    <xf numFmtId="3" fontId="53" fillId="0" borderId="18" xfId="49" applyNumberFormat="1" applyFont="1" applyBorder="1" applyAlignment="1">
      <alignment horizontal="left"/>
      <protection/>
    </xf>
    <xf numFmtId="3" fontId="53" fillId="0" borderId="12" xfId="49" applyNumberFormat="1" applyFont="1" applyBorder="1" applyAlignment="1">
      <alignment horizontal="left"/>
      <protection/>
    </xf>
    <xf numFmtId="0" fontId="60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textRotation="90" wrapText="1"/>
    </xf>
    <xf numFmtId="4" fontId="6" fillId="0" borderId="19" xfId="0" applyNumberFormat="1" applyFont="1" applyBorder="1" applyAlignment="1">
      <alignment horizontal="center" vertical="center" textRotation="90" wrapText="1"/>
    </xf>
    <xf numFmtId="4" fontId="6" fillId="0" borderId="16" xfId="0" applyNumberFormat="1" applyFont="1" applyBorder="1" applyAlignment="1">
      <alignment horizontal="center" vertical="center" textRotation="90" wrapText="1"/>
    </xf>
    <xf numFmtId="4" fontId="6" fillId="0" borderId="14" xfId="0" applyNumberFormat="1" applyFont="1" applyBorder="1" applyAlignment="1">
      <alignment horizontal="center" vertical="center" textRotation="90"/>
    </xf>
    <xf numFmtId="4" fontId="6" fillId="0" borderId="19" xfId="0" applyNumberFormat="1" applyFont="1" applyBorder="1" applyAlignment="1">
      <alignment horizontal="center" vertical="center" textRotation="90"/>
    </xf>
    <xf numFmtId="4" fontId="6" fillId="0" borderId="16" xfId="0" applyNumberFormat="1" applyFont="1" applyBorder="1" applyAlignment="1">
      <alignment horizontal="center" vertical="center" textRotation="90"/>
    </xf>
    <xf numFmtId="4" fontId="38" fillId="0" borderId="14" xfId="0" applyNumberFormat="1" applyFont="1" applyBorder="1" applyAlignment="1">
      <alignment horizontal="center" vertical="center" textRotation="90"/>
    </xf>
    <xf numFmtId="4" fontId="38" fillId="0" borderId="19" xfId="0" applyNumberFormat="1" applyFont="1" applyBorder="1" applyAlignment="1">
      <alignment horizontal="center" vertical="center" textRotation="90"/>
    </xf>
    <xf numFmtId="4" fontId="38" fillId="0" borderId="16" xfId="0" applyNumberFormat="1" applyFont="1" applyBorder="1" applyAlignment="1">
      <alignment horizontal="center" vertical="center" textRotation="9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8"/>
  <sheetViews>
    <sheetView showGridLines="0" showZeros="0" tabSelected="1" zoomScalePageLayoutView="0" workbookViewId="0" topLeftCell="A1">
      <pane xSplit="2" ySplit="10" topLeftCell="F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1" sqref="I11"/>
    </sheetView>
  </sheetViews>
  <sheetFormatPr defaultColWidth="8.875" defaultRowHeight="12.75"/>
  <cols>
    <col min="1" max="1" width="2.375" style="7" customWidth="1"/>
    <col min="2" max="2" width="17.00390625" style="7" customWidth="1"/>
    <col min="3" max="3" width="10.625" style="55" customWidth="1"/>
    <col min="4" max="4" width="6.25390625" style="7" bestFit="1" customWidth="1"/>
    <col min="5" max="5" width="7.75390625" style="7" customWidth="1"/>
    <col min="6" max="6" width="4.625" style="7" customWidth="1"/>
    <col min="7" max="7" width="3.625" style="7" customWidth="1"/>
    <col min="8" max="8" width="3.375" style="7" customWidth="1"/>
    <col min="9" max="9" width="5.75390625" style="7" customWidth="1"/>
    <col min="10" max="10" width="7.25390625" style="7" customWidth="1"/>
    <col min="11" max="11" width="7.125" style="7" customWidth="1"/>
    <col min="12" max="12" width="8.00390625" style="7" customWidth="1"/>
    <col min="13" max="13" width="7.00390625" style="22" bestFit="1" customWidth="1"/>
    <col min="14" max="15" width="7.875" style="7" customWidth="1"/>
    <col min="16" max="16" width="5.875" style="7" hidden="1" customWidth="1"/>
    <col min="17" max="17" width="6.875" style="7" customWidth="1"/>
    <col min="18" max="18" width="5.25390625" style="7" hidden="1" customWidth="1"/>
    <col min="19" max="19" width="5.375" style="7" customWidth="1"/>
    <col min="20" max="20" width="5.875" style="7" hidden="1" customWidth="1"/>
    <col min="21" max="21" width="7.75390625" style="7" customWidth="1"/>
    <col min="22" max="22" width="7.375" style="7" customWidth="1"/>
    <col min="23" max="23" width="7.875" style="7" customWidth="1"/>
    <col min="24" max="24" width="7.00390625" style="7" customWidth="1"/>
    <col min="25" max="25" width="6.75390625" style="7" customWidth="1"/>
    <col min="26" max="26" width="7.375" style="7" customWidth="1"/>
    <col min="27" max="27" width="5.875" style="7" customWidth="1"/>
    <col min="28" max="28" width="7.00390625" style="7" customWidth="1"/>
    <col min="29" max="29" width="8.00390625" style="7" customWidth="1"/>
    <col min="30" max="30" width="6.25390625" style="7" customWidth="1"/>
    <col min="31" max="32" width="8.875" style="193" customWidth="1"/>
    <col min="33" max="33" width="8.875" style="7" hidden="1" customWidth="1"/>
    <col min="34" max="34" width="10.75390625" style="26" hidden="1" customWidth="1"/>
    <col min="35" max="35" width="8.875" style="7" hidden="1" customWidth="1"/>
    <col min="36" max="61" width="8.875" style="7" customWidth="1"/>
    <col min="62" max="62" width="14.25390625" style="7" customWidth="1"/>
    <col min="63" max="63" width="8.875" style="7" customWidth="1"/>
    <col min="64" max="64" width="12.25390625" style="7" customWidth="1"/>
    <col min="65" max="65" width="8.875" style="7" customWidth="1"/>
    <col min="66" max="66" width="15.125" style="7" customWidth="1"/>
    <col min="67" max="16384" width="8.875" style="7" customWidth="1"/>
  </cols>
  <sheetData>
    <row r="1" spans="1:34" ht="10.5">
      <c r="A1" s="238" t="s">
        <v>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6"/>
      <c r="P1" s="28" t="s">
        <v>31</v>
      </c>
      <c r="Q1" s="93" t="s">
        <v>72</v>
      </c>
      <c r="R1" s="6"/>
      <c r="S1" s="18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H1" s="237" t="s">
        <v>1</v>
      </c>
    </row>
    <row r="2" spans="1:67" ht="12">
      <c r="A2" s="241" t="s">
        <v>12</v>
      </c>
      <c r="B2" s="241"/>
      <c r="C2" s="241"/>
      <c r="D2" s="242" t="s">
        <v>114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8"/>
      <c r="P2" s="9"/>
      <c r="Q2" s="8"/>
      <c r="R2" s="8"/>
      <c r="S2" s="10"/>
      <c r="AH2" s="237"/>
      <c r="BI2" s="11"/>
      <c r="BJ2" s="12"/>
      <c r="BK2" s="12"/>
      <c r="BL2" s="12"/>
      <c r="BM2" s="12"/>
      <c r="BN2" s="12"/>
      <c r="BO2" s="11"/>
    </row>
    <row r="3" spans="1:67" ht="10.5">
      <c r="A3" s="241" t="s">
        <v>11</v>
      </c>
      <c r="B3" s="241"/>
      <c r="C3" s="241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13"/>
      <c r="P3" s="9"/>
      <c r="Q3" s="8"/>
      <c r="R3" s="8"/>
      <c r="S3" s="14"/>
      <c r="AH3" s="237"/>
      <c r="BI3" s="11"/>
      <c r="BJ3" s="12"/>
      <c r="BK3" s="12"/>
      <c r="BL3" s="12"/>
      <c r="BM3" s="12"/>
      <c r="BN3" s="12"/>
      <c r="BO3" s="11"/>
    </row>
    <row r="4" spans="1:67" ht="10.5">
      <c r="A4" s="241" t="s">
        <v>10</v>
      </c>
      <c r="B4" s="241"/>
      <c r="C4" s="241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13"/>
      <c r="P4" s="9"/>
      <c r="Q4" s="8"/>
      <c r="R4" s="8"/>
      <c r="S4" s="15"/>
      <c r="AH4" s="16"/>
      <c r="BI4" s="11"/>
      <c r="BJ4" s="12"/>
      <c r="BK4" s="12"/>
      <c r="BL4" s="12"/>
      <c r="BM4" s="12"/>
      <c r="BN4" s="12"/>
      <c r="BO4" s="11"/>
    </row>
    <row r="5" spans="1:67" ht="12">
      <c r="A5" s="241" t="s">
        <v>29</v>
      </c>
      <c r="B5" s="241"/>
      <c r="C5" s="241"/>
      <c r="D5" s="254">
        <v>44197</v>
      </c>
      <c r="E5" s="255"/>
      <c r="F5" s="255"/>
      <c r="G5" s="255"/>
      <c r="H5" s="255"/>
      <c r="I5" s="256"/>
      <c r="J5" s="31"/>
      <c r="K5" s="32"/>
      <c r="L5" s="33"/>
      <c r="M5" s="33"/>
      <c r="N5" s="33"/>
      <c r="O5" s="17"/>
      <c r="P5" s="29"/>
      <c r="Q5" s="30"/>
      <c r="R5" s="27"/>
      <c r="S5" s="27"/>
      <c r="T5" s="27"/>
      <c r="U5" s="27"/>
      <c r="AH5" s="16"/>
      <c r="BI5" s="11"/>
      <c r="BJ5" s="12"/>
      <c r="BK5" s="12"/>
      <c r="BL5" s="12"/>
      <c r="BM5" s="12"/>
      <c r="BN5" s="12"/>
      <c r="BO5" s="11"/>
    </row>
    <row r="6" spans="1:67" ht="12.75" customHeight="1">
      <c r="A6" s="257" t="s">
        <v>3</v>
      </c>
      <c r="B6" s="218" t="s">
        <v>7</v>
      </c>
      <c r="C6" s="219"/>
      <c r="D6" s="219"/>
      <c r="E6" s="219"/>
      <c r="F6" s="219"/>
      <c r="G6" s="218" t="s">
        <v>17</v>
      </c>
      <c r="H6" s="219"/>
      <c r="I6" s="219"/>
      <c r="J6" s="218" t="s">
        <v>21</v>
      </c>
      <c r="K6" s="253"/>
      <c r="L6" s="218" t="s">
        <v>9</v>
      </c>
      <c r="M6" s="219"/>
      <c r="N6" s="253"/>
      <c r="O6" s="214" t="s">
        <v>32</v>
      </c>
      <c r="P6" s="250" t="s">
        <v>13</v>
      </c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2"/>
      <c r="AC6" s="211" t="s">
        <v>60</v>
      </c>
      <c r="AD6" s="209" t="s">
        <v>16</v>
      </c>
      <c r="AH6" s="16"/>
      <c r="BI6" s="11"/>
      <c r="BJ6" s="12"/>
      <c r="BK6" s="12"/>
      <c r="BL6" s="12"/>
      <c r="BM6" s="12"/>
      <c r="BN6" s="12"/>
      <c r="BO6" s="11"/>
    </row>
    <row r="7" spans="1:67" ht="31.5" customHeight="1">
      <c r="A7" s="258"/>
      <c r="B7" s="230" t="s">
        <v>8</v>
      </c>
      <c r="C7" s="223" t="s">
        <v>115</v>
      </c>
      <c r="D7" s="226" t="s">
        <v>4</v>
      </c>
      <c r="E7" s="61" t="s">
        <v>45</v>
      </c>
      <c r="F7" s="260" t="s">
        <v>63</v>
      </c>
      <c r="G7" s="220" t="s">
        <v>5</v>
      </c>
      <c r="H7" s="220" t="s">
        <v>20</v>
      </c>
      <c r="I7" s="220" t="s">
        <v>28</v>
      </c>
      <c r="J7" s="223" t="s">
        <v>56</v>
      </c>
      <c r="K7" s="223" t="s">
        <v>25</v>
      </c>
      <c r="L7" s="230" t="s">
        <v>55</v>
      </c>
      <c r="M7" s="223" t="s">
        <v>54</v>
      </c>
      <c r="N7" s="230" t="s">
        <v>6</v>
      </c>
      <c r="O7" s="215"/>
      <c r="P7" s="233" t="s">
        <v>14</v>
      </c>
      <c r="Q7" s="234"/>
      <c r="R7" s="234"/>
      <c r="S7" s="234"/>
      <c r="T7" s="235"/>
      <c r="U7" s="203" t="s">
        <v>15</v>
      </c>
      <c r="V7" s="204"/>
      <c r="W7" s="204"/>
      <c r="X7" s="204"/>
      <c r="Y7" s="204"/>
      <c r="Z7" s="204"/>
      <c r="AA7" s="205"/>
      <c r="AB7" s="243" t="s">
        <v>2</v>
      </c>
      <c r="AC7" s="213"/>
      <c r="AD7" s="229"/>
      <c r="AH7" s="16"/>
      <c r="BI7" s="11"/>
      <c r="BJ7" s="11"/>
      <c r="BK7" s="11"/>
      <c r="BL7" s="11"/>
      <c r="BM7" s="11"/>
      <c r="BN7" s="11"/>
      <c r="BO7" s="11"/>
    </row>
    <row r="8" spans="1:67" ht="15.75" customHeight="1">
      <c r="A8" s="258"/>
      <c r="B8" s="231"/>
      <c r="C8" s="224"/>
      <c r="D8" s="227"/>
      <c r="E8" s="57" t="s">
        <v>62</v>
      </c>
      <c r="F8" s="261"/>
      <c r="G8" s="221"/>
      <c r="H8" s="221"/>
      <c r="I8" s="221"/>
      <c r="J8" s="224"/>
      <c r="K8" s="224"/>
      <c r="L8" s="231"/>
      <c r="M8" s="224"/>
      <c r="N8" s="231"/>
      <c r="O8" s="215"/>
      <c r="P8" s="214" t="s">
        <v>43</v>
      </c>
      <c r="Q8" s="230" t="s">
        <v>49</v>
      </c>
      <c r="R8" s="223" t="s">
        <v>50</v>
      </c>
      <c r="S8" s="211" t="s">
        <v>71</v>
      </c>
      <c r="T8" s="209" t="s">
        <v>70</v>
      </c>
      <c r="U8" s="206" t="s">
        <v>95</v>
      </c>
      <c r="V8" s="207"/>
      <c r="W8" s="208"/>
      <c r="X8" s="214" t="s">
        <v>57</v>
      </c>
      <c r="Y8" s="247" t="s">
        <v>67</v>
      </c>
      <c r="Z8" s="243" t="s">
        <v>58</v>
      </c>
      <c r="AA8" s="211" t="s">
        <v>59</v>
      </c>
      <c r="AB8" s="244"/>
      <c r="AC8" s="213"/>
      <c r="AD8" s="229"/>
      <c r="AH8" s="16"/>
      <c r="BI8" s="11"/>
      <c r="BJ8" s="11"/>
      <c r="BK8" s="11"/>
      <c r="BL8" s="11"/>
      <c r="BM8" s="11"/>
      <c r="BN8" s="11"/>
      <c r="BO8" s="11"/>
    </row>
    <row r="9" spans="1:67" ht="15.75" customHeight="1">
      <c r="A9" s="258"/>
      <c r="B9" s="231"/>
      <c r="C9" s="224"/>
      <c r="D9" s="227"/>
      <c r="E9" s="56" t="s">
        <v>38</v>
      </c>
      <c r="F9" s="261"/>
      <c r="G9" s="221"/>
      <c r="H9" s="221"/>
      <c r="I9" s="221"/>
      <c r="J9" s="224"/>
      <c r="K9" s="224"/>
      <c r="L9" s="231"/>
      <c r="M9" s="224"/>
      <c r="N9" s="231"/>
      <c r="O9" s="215"/>
      <c r="P9" s="215"/>
      <c r="Q9" s="231"/>
      <c r="R9" s="224"/>
      <c r="S9" s="213"/>
      <c r="T9" s="229"/>
      <c r="U9" s="211" t="s">
        <v>106</v>
      </c>
      <c r="V9" s="209" t="s">
        <v>53</v>
      </c>
      <c r="W9" s="209" t="s">
        <v>96</v>
      </c>
      <c r="X9" s="215"/>
      <c r="Y9" s="248"/>
      <c r="Z9" s="244"/>
      <c r="AA9" s="213"/>
      <c r="AB9" s="244"/>
      <c r="AC9" s="213"/>
      <c r="AD9" s="229"/>
      <c r="AH9" s="16"/>
      <c r="BI9" s="11"/>
      <c r="BJ9" s="11"/>
      <c r="BK9" s="11"/>
      <c r="BL9" s="11"/>
      <c r="BM9" s="11"/>
      <c r="BN9" s="11"/>
      <c r="BO9" s="11"/>
    </row>
    <row r="10" spans="1:34" ht="20.25" customHeight="1">
      <c r="A10" s="259"/>
      <c r="B10" s="232"/>
      <c r="C10" s="225"/>
      <c r="D10" s="228"/>
      <c r="E10" s="58" t="s">
        <v>39</v>
      </c>
      <c r="F10" s="262"/>
      <c r="G10" s="222"/>
      <c r="H10" s="222"/>
      <c r="I10" s="222"/>
      <c r="J10" s="225"/>
      <c r="K10" s="225"/>
      <c r="L10" s="232"/>
      <c r="M10" s="225"/>
      <c r="N10" s="232"/>
      <c r="O10" s="216"/>
      <c r="P10" s="216"/>
      <c r="Q10" s="232"/>
      <c r="R10" s="225"/>
      <c r="S10" s="212"/>
      <c r="T10" s="210"/>
      <c r="U10" s="212"/>
      <c r="V10" s="210"/>
      <c r="W10" s="210"/>
      <c r="X10" s="216"/>
      <c r="Y10" s="249"/>
      <c r="Z10" s="245"/>
      <c r="AA10" s="212"/>
      <c r="AB10" s="245"/>
      <c r="AC10" s="212"/>
      <c r="AD10" s="210"/>
      <c r="AH10" s="16"/>
    </row>
    <row r="11" spans="1:34" ht="12.75">
      <c r="A11" s="103">
        <v>1</v>
      </c>
      <c r="B11" s="124" t="s">
        <v>114</v>
      </c>
      <c r="C11" s="128">
        <v>11223344556</v>
      </c>
      <c r="D11" s="129">
        <v>119.25</v>
      </c>
      <c r="E11" s="187" t="s">
        <v>39</v>
      </c>
      <c r="F11" s="188" t="s">
        <v>61</v>
      </c>
      <c r="G11" s="131">
        <v>30</v>
      </c>
      <c r="H11" s="131">
        <v>30</v>
      </c>
      <c r="I11" s="199"/>
      <c r="J11" s="105"/>
      <c r="K11" s="105"/>
      <c r="L11" s="106">
        <f aca="true" t="shared" si="0" ref="L11:L30">IF((D11*G11)=0,"",D11*G11)</f>
        <v>3577.5</v>
      </c>
      <c r="M11" s="106">
        <f aca="true" t="shared" si="1" ref="M11:M30">IF(OR(D11="",G11="",I11=""),"",((D11/7.5)*1.5)*I11)</f>
      </c>
      <c r="N11" s="107">
        <f aca="true" t="shared" si="2" ref="N11:N30">IF(SUM(J11:M11)=0,"",SUM(J11:M11))</f>
        <v>3577.5</v>
      </c>
      <c r="O11" s="108">
        <f>IF(N11="","",IF(L11="",N11,(N11+R11+T11)))</f>
        <v>4400.33</v>
      </c>
      <c r="P11" s="109">
        <f>IF(N11="","",IF(N11-K11=0,"",(IF(N11-K11&gt;P!$B$7,P!$B$7,(IF((N11-K11)/H11&lt;P!$B$12,"0",IF(N11-K11&lt;P!$B$7,N11-K11)))))))</f>
        <v>3577.5</v>
      </c>
      <c r="Q11" s="107">
        <f>IF(P11="","",ROUND(P11*14%,2))</f>
        <v>500.85</v>
      </c>
      <c r="R11" s="108">
        <f>IF(P11="","",ROUND(P11*P!$B$9%,2))</f>
        <v>751.28</v>
      </c>
      <c r="S11" s="107">
        <f>IF(P11="","",ROUND(P11*1%,2))</f>
        <v>35.78</v>
      </c>
      <c r="T11" s="108">
        <f>IF(P11="","",ROUND(P11*P!$B$16%,2))</f>
        <v>71.55</v>
      </c>
      <c r="U11" s="132"/>
      <c r="V11" s="108">
        <f>IF(N11="","",IF(P!$G$13="H","",IF(P!$G$13="E",(SUM(N11-Q11-S11)))))</f>
        <v>3040.87</v>
      </c>
      <c r="W11" s="108">
        <f>IF(N11="","",IF(P!$G$13="H","",IF(P!$G$13="E",(SUM(U11+V11)))))</f>
        <v>3040.87</v>
      </c>
      <c r="X11" s="108">
        <f>IF(N11="","",KüMüLATiF!K11)</f>
        <v>456.1305</v>
      </c>
      <c r="Y11" s="133">
        <f>IF(OR(D11="",E11="",N11="",V11=""),"",IF(E11="İndirimsiz","",(INDEX(MH!$D$4:$E$14,MATCH(F11,MH!$B$4:$B$14,0),MATCH(E11,MH!$D$3:$E$3,0)))))</f>
        <v>268.3125</v>
      </c>
      <c r="Z11" s="111">
        <f>IF(OR(N11="",P!$G$13="H"),"",IF(Y11="",X11,IF(Y11&gt;X11,"",X11-Y11)))</f>
        <v>187.81799999999998</v>
      </c>
      <c r="AA11" s="107">
        <f>IF(N11="","",IF(P!$G$14="H","",IF(P!$G$14="E",ROUND(N11*GVT!$A$19,2))))</f>
        <v>27.15</v>
      </c>
      <c r="AB11" s="107">
        <f aca="true" t="shared" si="3" ref="AB11:AB30">IF(SUM(Q11,S11,Z11,AA11)=0,"",SUM(Q11,S11,Z11,AA11))</f>
        <v>751.598</v>
      </c>
      <c r="AC11" s="125">
        <f aca="true" t="shared" si="4" ref="AC11:AC30">IF(N11="","",SUM(N11-AB11))</f>
        <v>2825.902</v>
      </c>
      <c r="AD11" s="112"/>
      <c r="AE11" s="190"/>
      <c r="AH11" s="92">
        <f>P!$B$12</f>
        <v>119.25</v>
      </c>
    </row>
    <row r="12" spans="1:34" ht="12.75">
      <c r="A12" s="103">
        <v>2</v>
      </c>
      <c r="B12" s="124"/>
      <c r="C12" s="128"/>
      <c r="D12" s="129"/>
      <c r="E12" s="187" t="s">
        <v>39</v>
      </c>
      <c r="F12" s="188" t="s">
        <v>61</v>
      </c>
      <c r="G12" s="131">
        <v>30</v>
      </c>
      <c r="H12" s="131">
        <v>30</v>
      </c>
      <c r="I12" s="199"/>
      <c r="J12" s="105"/>
      <c r="K12" s="105"/>
      <c r="L12" s="106">
        <f t="shared" si="0"/>
      </c>
      <c r="M12" s="106">
        <f t="shared" si="1"/>
      </c>
      <c r="N12" s="107">
        <f t="shared" si="2"/>
      </c>
      <c r="O12" s="108">
        <f aca="true" t="shared" si="5" ref="O12:O30">IF(N12="","",IF(L12="",N12,(N12+R12+T12)))</f>
      </c>
      <c r="P12" s="109">
        <f>IF(N12="","",IF(N12-K12=0,"",(IF(N12-K12&gt;P!$B$7,P!$B$7,(IF((N12-K12)/H12&lt;P!$B$12,"0",IF(N12-K12&lt;P!$B$7,N12-K12)))))))</f>
      </c>
      <c r="Q12" s="107">
        <f aca="true" t="shared" si="6" ref="Q12:Q30">IF(P12="","",ROUND(P12*14%,2))</f>
      </c>
      <c r="R12" s="108">
        <f>IF(P12="","",ROUND(P12*P!$B$9%,2))</f>
      </c>
      <c r="S12" s="107">
        <f aca="true" t="shared" si="7" ref="S12:S30">IF(P12="","",ROUND(P12*1%,2))</f>
      </c>
      <c r="T12" s="108">
        <f>IF(P12="","",ROUND(P12*P!$B$16%,2))</f>
      </c>
      <c r="U12" s="132"/>
      <c r="V12" s="108">
        <f>IF(N12="","",IF(P!$G$13="H","",IF(P!$G$13="E",(SUM(N12-Q12-S12)))))</f>
      </c>
      <c r="W12" s="108">
        <f>IF(N12="","",IF(P!$G$13="H","",IF(P!$G$13="E",(SUM(U12+V12)))))</f>
      </c>
      <c r="X12" s="108">
        <f>IF(N12="","",KüMüLATiF!K12)</f>
      </c>
      <c r="Y12" s="133">
        <f>IF(OR(D12="",E12="",N12="",V12=""),"",IF(E12="İndirimsiz","",(INDEX(MH!$D$4:$E$14,MATCH(F12,MH!$B$4:$B$14,0),MATCH(E12,MH!$D$3:$E$3,0)))))</f>
      </c>
      <c r="Z12" s="111">
        <f>IF(OR(N12="",P!$G$13="H"),"",IF(Y12="",X12,IF(Y12&gt;X12,"",X12-Y12)))</f>
      </c>
      <c r="AA12" s="107">
        <f>IF(N12="","",IF(P!$G$14="H","",IF(P!$G$14="E",ROUND(N12*GVT!$A$19,2))))</f>
      </c>
      <c r="AB12" s="107">
        <f t="shared" si="3"/>
      </c>
      <c r="AC12" s="125">
        <f t="shared" si="4"/>
      </c>
      <c r="AD12" s="112"/>
      <c r="AE12" s="190">
        <v>1</v>
      </c>
      <c r="AF12" s="189" t="s">
        <v>61</v>
      </c>
      <c r="AH12" s="92">
        <f>P!$B$12</f>
        <v>119.25</v>
      </c>
    </row>
    <row r="13" spans="1:34" ht="12.75">
      <c r="A13" s="103">
        <v>3</v>
      </c>
      <c r="B13" s="124"/>
      <c r="C13" s="128"/>
      <c r="D13" s="129"/>
      <c r="E13" s="187" t="s">
        <v>39</v>
      </c>
      <c r="F13" s="188">
        <v>1</v>
      </c>
      <c r="G13" s="131">
        <v>30</v>
      </c>
      <c r="H13" s="131">
        <v>30</v>
      </c>
      <c r="I13" s="199"/>
      <c r="J13" s="126"/>
      <c r="K13" s="126"/>
      <c r="L13" s="106">
        <f t="shared" si="0"/>
      </c>
      <c r="M13" s="106">
        <f t="shared" si="1"/>
      </c>
      <c r="N13" s="107">
        <f t="shared" si="2"/>
      </c>
      <c r="O13" s="108">
        <f t="shared" si="5"/>
      </c>
      <c r="P13" s="109">
        <f>IF(N13="","",IF(N13-K13=0,"",(IF(N13-K13&gt;P!$B$7,P!$B$7,(IF((N13-K13)/H13&lt;P!$B$12,"0",IF(N13-K13&lt;P!$B$7,N13-K13)))))))</f>
      </c>
      <c r="Q13" s="107">
        <f t="shared" si="6"/>
      </c>
      <c r="R13" s="108">
        <f>IF(P13="","",ROUND(P13*P!$B$9%,2))</f>
      </c>
      <c r="S13" s="107">
        <f t="shared" si="7"/>
      </c>
      <c r="T13" s="108">
        <f>IF(P13="","",ROUND(P13*P!$B$16%,2))</f>
      </c>
      <c r="U13" s="132"/>
      <c r="V13" s="108">
        <f>IF(N13="","",IF(P!$G$13="H","",IF(P!$G$13="E",(SUM(N13-Q13-S13)))))</f>
      </c>
      <c r="W13" s="108">
        <f>IF(N13="","",IF(P!$G$13="H","",IF(P!$G$13="E",(SUM(U13+V13)))))</f>
      </c>
      <c r="X13" s="108">
        <f>IF(N13="","",KüMüLATiF!K13)</f>
      </c>
      <c r="Y13" s="133">
        <f>IF(OR(D13="",E13="",N13=""),"",IF(E13="İndirimsiz","",(INDEX(MH!$D$4:$E$14,MATCH(F13,MH!$B$4:$B$14,0),MATCH(E13,MH!$D$3:$E$3,0)))))</f>
      </c>
      <c r="Z13" s="111">
        <f>IF(OR(N13="",P!$G$13="H"),"",IF(Y13="",X13,IF(Y13&gt;X13,"",X13-Y13)))</f>
      </c>
      <c r="AA13" s="107">
        <f>IF(N13="","",IF(P!$G$14="H","",IF(P!$G$14="E",ROUND(N13*GVT!$A$19,2))))</f>
      </c>
      <c r="AB13" s="107">
        <f t="shared" si="3"/>
      </c>
      <c r="AC13" s="125">
        <f t="shared" si="4"/>
      </c>
      <c r="AD13" s="112"/>
      <c r="AE13" s="190">
        <v>2</v>
      </c>
      <c r="AF13" s="189">
        <v>1</v>
      </c>
      <c r="AH13" s="92">
        <f>P!$B$12</f>
        <v>119.25</v>
      </c>
    </row>
    <row r="14" spans="1:39" ht="12.75">
      <c r="A14" s="103">
        <v>4</v>
      </c>
      <c r="B14" s="124"/>
      <c r="C14" s="128"/>
      <c r="D14" s="129"/>
      <c r="E14" s="187" t="s">
        <v>39</v>
      </c>
      <c r="F14" s="188">
        <v>3</v>
      </c>
      <c r="G14" s="131">
        <v>30</v>
      </c>
      <c r="H14" s="131">
        <v>30</v>
      </c>
      <c r="I14" s="199"/>
      <c r="J14" s="105"/>
      <c r="K14" s="105"/>
      <c r="L14" s="106">
        <f t="shared" si="0"/>
      </c>
      <c r="M14" s="106">
        <f t="shared" si="1"/>
      </c>
      <c r="N14" s="107">
        <f t="shared" si="2"/>
      </c>
      <c r="O14" s="108">
        <f t="shared" si="5"/>
      </c>
      <c r="P14" s="109">
        <f>IF(N14="","",IF(N14-K14=0,"",(IF(N14-K14&gt;P!$B$7,P!$B$7,(IF((N14-K14)/H14&lt;P!$B$12,"0",IF(N14-K14&lt;P!$B$7,N14-K14)))))))</f>
      </c>
      <c r="Q14" s="107">
        <f t="shared" si="6"/>
      </c>
      <c r="R14" s="108">
        <f>IF(P14="","",ROUND(P14*P!$B$9%,2))</f>
      </c>
      <c r="S14" s="107">
        <f t="shared" si="7"/>
      </c>
      <c r="T14" s="108">
        <f>IF(P14="","",ROUND(P14*P!$B$16%,2))</f>
      </c>
      <c r="U14" s="132"/>
      <c r="V14" s="108">
        <f>IF(N14="","",IF(P!$G$13="H","",IF(P!$G$13="E",(SUM(N14-Q14-S14)))))</f>
      </c>
      <c r="W14" s="108">
        <f>IF(N14="","",IF(P!$G$13="H","",IF(P!$G$13="E",(SUM(U14+V14)))))</f>
      </c>
      <c r="X14" s="108">
        <f>IF(N14="","",KüMüLATiF!K14)</f>
      </c>
      <c r="Y14" s="133">
        <f>IF(OR(D14="",E14="",N14=""),"",IF(E14="İndirimsiz","",(INDEX(MH!$D$4:$E$14,MATCH(F14,MH!$B$4:$B$14,0),MATCH(E14,MH!$D$3:$E$3,0)))))</f>
      </c>
      <c r="Z14" s="111">
        <f>IF(OR(N14="",P!$G$13="H"),"",IF(Y14="",X14,IF(Y14&gt;X14,"",X14-Y14)))</f>
      </c>
      <c r="AA14" s="107">
        <f>IF(N14="","",IF(P!$G$14="H","",IF(P!$G$14="E",ROUND(N14*GVT!$A$19,2))))</f>
      </c>
      <c r="AB14" s="107">
        <f t="shared" si="3"/>
      </c>
      <c r="AC14" s="125">
        <f t="shared" si="4"/>
      </c>
      <c r="AD14" s="112"/>
      <c r="AE14" s="190">
        <v>3</v>
      </c>
      <c r="AF14" s="189">
        <v>2</v>
      </c>
      <c r="AH14" s="92">
        <f>P!$B$12</f>
        <v>119.25</v>
      </c>
      <c r="AM14" s="99"/>
    </row>
    <row r="15" spans="1:34" ht="12.75">
      <c r="A15" s="103">
        <v>5</v>
      </c>
      <c r="B15" s="124"/>
      <c r="C15" s="128"/>
      <c r="D15" s="129"/>
      <c r="E15" s="187" t="s">
        <v>38</v>
      </c>
      <c r="F15" s="188">
        <v>4</v>
      </c>
      <c r="G15" s="131">
        <v>30</v>
      </c>
      <c r="H15" s="131">
        <v>30</v>
      </c>
      <c r="I15" s="199"/>
      <c r="J15" s="105"/>
      <c r="K15" s="105"/>
      <c r="L15" s="106">
        <f t="shared" si="0"/>
      </c>
      <c r="M15" s="106">
        <f t="shared" si="1"/>
      </c>
      <c r="N15" s="107">
        <f t="shared" si="2"/>
      </c>
      <c r="O15" s="108">
        <f t="shared" si="5"/>
      </c>
      <c r="P15" s="109">
        <f>IF(N15="","",IF(N15-K15=0,"",(IF(N15-K15&gt;P!$B$7,P!$B$7,(IF((N15-K15)/H15&lt;P!$B$12,"0",IF(N15-K15&lt;P!$B$7,N15-K15)))))))</f>
      </c>
      <c r="Q15" s="107">
        <f t="shared" si="6"/>
      </c>
      <c r="R15" s="108">
        <f>IF(P15="","",ROUND(P15*P!$B$9%,2))</f>
      </c>
      <c r="S15" s="107">
        <f t="shared" si="7"/>
      </c>
      <c r="T15" s="108">
        <f>IF(P15="","",ROUND(P15*P!$B$16%,2))</f>
      </c>
      <c r="U15" s="132"/>
      <c r="V15" s="108">
        <f>IF(N15="","",IF(P!$G$13="H","",IF(P!$G$13="E",(SUM(N15-Q15-S15)))))</f>
      </c>
      <c r="W15" s="108">
        <f>IF(N15="","",IF(P!$G$13="H","",IF(P!$G$13="E",(SUM(U15+V15)))))</f>
      </c>
      <c r="X15" s="108">
        <f>IF(N15="","",KüMüLATiF!K15)</f>
      </c>
      <c r="Y15" s="133">
        <f>IF(OR(D15="",E15="",N15=""),"",IF(E15="İndirimsiz","",(INDEX(MH!$D$4:$E$14,MATCH(F15,MH!$B$4:$B$14,0),MATCH(E15,MH!$D$3:$E$3,0)))))</f>
      </c>
      <c r="Z15" s="111">
        <f>IF(OR(N15="",P!$G$13="H"),"",IF(Y15="",X15,IF(Y15&gt;X15,"",X15-Y15)))</f>
      </c>
      <c r="AA15" s="107">
        <f>IF(N15="","",IF(P!$G$14="H","",IF(P!$G$14="E",ROUND(N15*GVT!$A$19,2))))</f>
      </c>
      <c r="AB15" s="107">
        <f t="shared" si="3"/>
      </c>
      <c r="AC15" s="125">
        <f t="shared" si="4"/>
      </c>
      <c r="AD15" s="112"/>
      <c r="AE15" s="190">
        <v>4</v>
      </c>
      <c r="AF15" s="189">
        <v>3</v>
      </c>
      <c r="AH15" s="92">
        <f>P!$B$12</f>
        <v>119.25</v>
      </c>
    </row>
    <row r="16" spans="1:34" ht="12.75">
      <c r="A16" s="103">
        <v>6</v>
      </c>
      <c r="B16" s="124"/>
      <c r="C16" s="130"/>
      <c r="D16" s="129"/>
      <c r="E16" s="187" t="s">
        <v>39</v>
      </c>
      <c r="F16" s="188" t="s">
        <v>61</v>
      </c>
      <c r="G16" s="131"/>
      <c r="H16" s="131"/>
      <c r="I16" s="199"/>
      <c r="J16" s="114"/>
      <c r="K16" s="114"/>
      <c r="L16" s="115">
        <f t="shared" si="0"/>
      </c>
      <c r="M16" s="106">
        <f t="shared" si="1"/>
      </c>
      <c r="N16" s="107">
        <f t="shared" si="2"/>
      </c>
      <c r="O16" s="108">
        <f t="shared" si="5"/>
      </c>
      <c r="P16" s="109">
        <f>IF(N16="","",IF(N16-K16=0,"",(IF(N16-K16&gt;P!$B$7,P!$B$7,(IF((N16-K16)/H16&lt;P!$B$12,"0",IF(N16-K16&lt;P!$B$7,N16-K16)))))))</f>
      </c>
      <c r="Q16" s="107">
        <f t="shared" si="6"/>
      </c>
      <c r="R16" s="108">
        <f>IF(P16="","",ROUND(P16*P!$B$9%,2))</f>
      </c>
      <c r="S16" s="107">
        <f t="shared" si="7"/>
      </c>
      <c r="T16" s="108">
        <f>IF(P16="","",ROUND(P16*P!$B$16%,2))</f>
      </c>
      <c r="U16" s="132"/>
      <c r="V16" s="108">
        <f>IF(N16="","",IF(P!$G$13="H","",IF(P!$G$13="E",(SUM(N16-Q16-S16)))))</f>
      </c>
      <c r="W16" s="108">
        <f>IF(N16="","",IF(P!$G$13="H","",IF(P!$G$13="E",(SUM(U16+V16)))))</f>
      </c>
      <c r="X16" s="108">
        <f>IF(N16="","",KüMüLATiF!K16)</f>
      </c>
      <c r="Y16" s="133">
        <f>IF(OR(D16="",E16="",N16=""),"",IF(E16="İndirimsiz","",(INDEX(MH!$D$4:$E$14,MATCH(F16,MH!$B$4:$B$14,0),MATCH(E16,MH!$D$3:$E$3,0)))))</f>
      </c>
      <c r="Z16" s="111">
        <f>IF(OR(N16="",P!$G$13="H"),"",IF(Y16="",X16,IF(Y16&gt;X16,"",X16-Y16)))</f>
      </c>
      <c r="AA16" s="107">
        <f>IF(N16="","",IF(P!$G$14="H","",IF(P!$G$14="E",ROUND(N16*GVT!$A$19,2))))</f>
      </c>
      <c r="AB16" s="107">
        <f t="shared" si="3"/>
      </c>
      <c r="AC16" s="125">
        <f t="shared" si="4"/>
      </c>
      <c r="AD16" s="112"/>
      <c r="AE16" s="190">
        <v>5</v>
      </c>
      <c r="AF16" s="189">
        <v>4</v>
      </c>
      <c r="AH16" s="92">
        <f>P!$B$12</f>
        <v>119.25</v>
      </c>
    </row>
    <row r="17" spans="1:34" ht="12.75">
      <c r="A17" s="103">
        <v>7</v>
      </c>
      <c r="B17" s="124"/>
      <c r="C17" s="130"/>
      <c r="D17" s="129"/>
      <c r="E17" s="187" t="s">
        <v>38</v>
      </c>
      <c r="F17" s="188" t="s">
        <v>61</v>
      </c>
      <c r="G17" s="131"/>
      <c r="H17" s="131"/>
      <c r="I17" s="199"/>
      <c r="J17" s="127"/>
      <c r="K17" s="127"/>
      <c r="L17" s="115">
        <f t="shared" si="0"/>
      </c>
      <c r="M17" s="106">
        <f t="shared" si="1"/>
      </c>
      <c r="N17" s="107">
        <f t="shared" si="2"/>
      </c>
      <c r="O17" s="108">
        <f t="shared" si="5"/>
      </c>
      <c r="P17" s="109">
        <f>IF(N17="","",IF(N17-K17=0,"",(IF(N17-K17&gt;P!$B$7,P!$B$7,(IF((N17-K17)/H17&lt;P!$B$12,"0",IF(N17-K17&lt;P!$B$7,N17-K17)))))))</f>
      </c>
      <c r="Q17" s="107">
        <f t="shared" si="6"/>
      </c>
      <c r="R17" s="108">
        <f>IF(P17="","",ROUND(P17*P!$B$9%,2))</f>
      </c>
      <c r="S17" s="107">
        <f t="shared" si="7"/>
      </c>
      <c r="T17" s="108">
        <f>IF(P17="","",ROUND(P17*P!$B$16%,2))</f>
      </c>
      <c r="U17" s="132"/>
      <c r="V17" s="108">
        <f>IF(N17="","",IF(P!$G$13="H","",IF(P!$G$13="E",(SUM(N17-Q17-S17)))))</f>
      </c>
      <c r="W17" s="108">
        <f>IF(N17="","",IF(P!$G$13="H","",IF(P!$G$13="E",(SUM(U17+V17)))))</f>
      </c>
      <c r="X17" s="108">
        <f>IF(N17="","",KüMüLATiF!K17)</f>
      </c>
      <c r="Y17" s="133">
        <f>IF(OR(D17="",E17="",N17=""),"",IF(E17="İndirimsiz","",(INDEX(MH!$D$4:$E$14,MATCH(F17,MH!$B$4:$B$14,0),MATCH(E17,MH!$D$3:$E$3,0)))))</f>
      </c>
      <c r="Z17" s="111">
        <f>IF(OR(N17="",P!$G$13="H"),"",IF(Y17="",X17,IF(Y17&gt;X17,"",X17-Y17)))</f>
      </c>
      <c r="AA17" s="107">
        <f>IF(N17="","",IF(P!$G$14="H","",IF(P!$G$14="E",ROUND(N17*GVT!$A$19,2))))</f>
      </c>
      <c r="AB17" s="107">
        <f t="shared" si="3"/>
      </c>
      <c r="AC17" s="125">
        <f t="shared" si="4"/>
      </c>
      <c r="AD17" s="112"/>
      <c r="AE17" s="190">
        <v>6</v>
      </c>
      <c r="AH17" s="92">
        <f>P!$B$12</f>
        <v>119.25</v>
      </c>
    </row>
    <row r="18" spans="1:34" ht="12.75">
      <c r="A18" s="103">
        <v>8</v>
      </c>
      <c r="B18" s="124"/>
      <c r="C18" s="130"/>
      <c r="D18" s="129"/>
      <c r="E18" s="187" t="s">
        <v>39</v>
      </c>
      <c r="F18" s="188" t="s">
        <v>61</v>
      </c>
      <c r="G18" s="131"/>
      <c r="H18" s="131"/>
      <c r="I18" s="199"/>
      <c r="J18" s="127"/>
      <c r="K18" s="127"/>
      <c r="L18" s="115">
        <f t="shared" si="0"/>
      </c>
      <c r="M18" s="106">
        <f t="shared" si="1"/>
      </c>
      <c r="N18" s="107">
        <f t="shared" si="2"/>
      </c>
      <c r="O18" s="108">
        <f t="shared" si="5"/>
      </c>
      <c r="P18" s="109">
        <f>IF(N18="","",IF(N18-K18=0,"",(IF(N18-K18&gt;P!$B$7,P!$B$7,(IF((N18-K18)/H18&lt;P!$B$12,"0",IF(N18-K18&lt;P!$B$7,N18-K18)))))))</f>
      </c>
      <c r="Q18" s="107">
        <f t="shared" si="6"/>
      </c>
      <c r="R18" s="108">
        <f>IF(P18="","",ROUND(P18*P!$B$9%,2))</f>
      </c>
      <c r="S18" s="107">
        <f t="shared" si="7"/>
      </c>
      <c r="T18" s="108">
        <f>IF(P18="","",ROUND(P18*P!$B$16%,2))</f>
      </c>
      <c r="U18" s="132"/>
      <c r="V18" s="108">
        <f>IF(N18="","",IF(P!$G$13="H","",IF(P!$G$13="E",(SUM(N18-Q18-S18)))))</f>
      </c>
      <c r="W18" s="108">
        <f>IF(N18="","",IF(P!$G$13="H","",IF(P!$G$13="E",(SUM(U18+V18)))))</f>
      </c>
      <c r="X18" s="108">
        <f>IF(N18="","",KüMüLATiF!K18)</f>
      </c>
      <c r="Y18" s="133">
        <f>IF(OR(D18="",E18="",N18=""),"",IF(E18="İndirimsiz","",(INDEX(MH!$D$4:$E$14,MATCH(F18,MH!$B$4:$B$14,0),MATCH(E18,MH!$D$3:$E$3,0)))))</f>
      </c>
      <c r="Z18" s="111">
        <f>IF(OR(N18="",P!$G$13="H"),"",IF(Y18="",X18,IF(Y18&gt;X18,"",X18-Y18)))</f>
      </c>
      <c r="AA18" s="107">
        <f>IF(N18="","",IF(P!$G$14="H","",IF(P!$G$14="E",ROUND(N18*GVT!$A$19,2))))</f>
      </c>
      <c r="AB18" s="107">
        <f t="shared" si="3"/>
      </c>
      <c r="AC18" s="125">
        <f t="shared" si="4"/>
      </c>
      <c r="AD18" s="112"/>
      <c r="AE18" s="190">
        <v>7</v>
      </c>
      <c r="AH18" s="92">
        <f>P!$B$12</f>
        <v>119.25</v>
      </c>
    </row>
    <row r="19" spans="1:34" ht="12.75">
      <c r="A19" s="103">
        <v>9</v>
      </c>
      <c r="B19" s="124"/>
      <c r="C19" s="130"/>
      <c r="D19" s="129"/>
      <c r="E19" s="186" t="s">
        <v>38</v>
      </c>
      <c r="F19" s="188" t="s">
        <v>61</v>
      </c>
      <c r="G19" s="131"/>
      <c r="H19" s="131"/>
      <c r="I19" s="199"/>
      <c r="J19" s="114"/>
      <c r="K19" s="114"/>
      <c r="L19" s="115">
        <f t="shared" si="0"/>
      </c>
      <c r="M19" s="106">
        <f t="shared" si="1"/>
      </c>
      <c r="N19" s="107">
        <f t="shared" si="2"/>
      </c>
      <c r="O19" s="108">
        <f t="shared" si="5"/>
      </c>
      <c r="P19" s="109">
        <f>IF(N19="","",IF(N19-K19=0,"",(IF(N19-K19&gt;P!$B$7,P!$B$7,(IF((N19-K19)/H19&lt;P!$B$12,"0",IF(N19-K19&lt;P!$B$7,N19-K19)))))))</f>
      </c>
      <c r="Q19" s="107">
        <f t="shared" si="6"/>
      </c>
      <c r="R19" s="108">
        <f>IF(P19="","",ROUND(P19*P!$B$9%,2))</f>
      </c>
      <c r="S19" s="107">
        <f t="shared" si="7"/>
      </c>
      <c r="T19" s="108">
        <f>IF(P19="","",ROUND(P19*P!$B$16%,2))</f>
      </c>
      <c r="U19" s="132"/>
      <c r="V19" s="108">
        <f>IF(N19="","",IF(P!$G$13="H","",IF(P!$G$13="E",(SUM(N19-Q19-S19)))))</f>
      </c>
      <c r="W19" s="108">
        <f>IF(N19="","",IF(P!$G$13="H","",IF(P!$G$13="E",(SUM(U19+V19)))))</f>
      </c>
      <c r="X19" s="108">
        <f>IF(N19="","",KüMüLATiF!K19)</f>
      </c>
      <c r="Y19" s="133">
        <f>IF(OR(D19="",E19="",N19=""),"",IF(E19="İndirimsiz","",(INDEX(MH!$D$4:$E$14,MATCH(F19,MH!$B$4:$B$14,0),MATCH(E19,MH!$D$3:$E$3,0)))))</f>
      </c>
      <c r="Z19" s="111">
        <f>IF(OR(N19="",P!$G$13="H"),"",IF(Y19="",X19,IF(Y19&gt;X19,"",X19-Y19)))</f>
      </c>
      <c r="AA19" s="107">
        <f>IF(N19="","",IF(P!$G$14="H","",IF(P!$G$14="E",ROUND(N19*GVT!$A$19,2))))</f>
      </c>
      <c r="AB19" s="107">
        <f t="shared" si="3"/>
      </c>
      <c r="AC19" s="125">
        <f t="shared" si="4"/>
      </c>
      <c r="AD19" s="112"/>
      <c r="AE19" s="190">
        <v>8</v>
      </c>
      <c r="AH19" s="92">
        <f>P!$B$12</f>
        <v>119.25</v>
      </c>
    </row>
    <row r="20" spans="1:34" ht="12.75">
      <c r="A20" s="103">
        <v>10</v>
      </c>
      <c r="B20" s="124"/>
      <c r="C20" s="130"/>
      <c r="D20" s="129"/>
      <c r="E20" s="186" t="s">
        <v>38</v>
      </c>
      <c r="F20" s="188" t="s">
        <v>61</v>
      </c>
      <c r="G20" s="131"/>
      <c r="H20" s="131"/>
      <c r="I20" s="199"/>
      <c r="J20" s="114"/>
      <c r="K20" s="114"/>
      <c r="L20" s="115">
        <f t="shared" si="0"/>
      </c>
      <c r="M20" s="106">
        <f t="shared" si="1"/>
      </c>
      <c r="N20" s="107">
        <f t="shared" si="2"/>
      </c>
      <c r="O20" s="108">
        <f t="shared" si="5"/>
      </c>
      <c r="P20" s="109">
        <f>IF(N20="","",IF(N20-K20=0,"",(IF(N20-K20&gt;P!$B$7,P!$B$7,(IF((N20-K20)/H20&lt;P!$B$12,"0",IF(N20-K20&lt;P!$B$7,N20-K20)))))))</f>
      </c>
      <c r="Q20" s="107">
        <f t="shared" si="6"/>
      </c>
      <c r="R20" s="108">
        <f>IF(P20="","",ROUND(P20*P!$B$9%,2))</f>
      </c>
      <c r="S20" s="107">
        <f t="shared" si="7"/>
      </c>
      <c r="T20" s="108">
        <f>IF(P20="","",ROUND(P20*P!$B$16%,2))</f>
      </c>
      <c r="U20" s="132"/>
      <c r="V20" s="108">
        <f>IF(N20="","",IF(P!$G$13="H","",IF(P!$G$13="E",(SUM(N20-Q20-S20)))))</f>
      </c>
      <c r="W20" s="108">
        <f>IF(N20="","",IF(P!$G$13="H","",IF(P!$G$13="E",(SUM(U20+V20)))))</f>
      </c>
      <c r="X20" s="108">
        <f>IF(N20="","",KüMüLATiF!K20)</f>
      </c>
      <c r="Y20" s="133">
        <f>IF(OR(D20="",E20="",N20=""),"",IF(E20="İndirimsiz","",(INDEX(MH!$D$4:$E$14,MATCH(F20,MH!$B$4:$B$14,0),MATCH(E20,MH!$D$3:$E$3,0)))))</f>
      </c>
      <c r="Z20" s="111">
        <f>IF(OR(N20="",P!$G$13="H"),"",IF(Y20="",X20,IF(Y20&gt;X20,"",X20-Y20)))</f>
      </c>
      <c r="AA20" s="107">
        <f>IF(N20="","",IF(P!$G$14="H","",IF(P!$G$14="E",ROUND(N20*GVT!$A$19,2))))</f>
      </c>
      <c r="AB20" s="107">
        <f t="shared" si="3"/>
      </c>
      <c r="AC20" s="125">
        <f t="shared" si="4"/>
      </c>
      <c r="AD20" s="112"/>
      <c r="AE20" s="190">
        <v>9</v>
      </c>
      <c r="AH20" s="92">
        <f>P!$B$12</f>
        <v>119.25</v>
      </c>
    </row>
    <row r="21" spans="1:34" ht="12.75">
      <c r="A21" s="103">
        <v>11</v>
      </c>
      <c r="B21" s="124"/>
      <c r="C21" s="130"/>
      <c r="D21" s="129"/>
      <c r="E21" s="186" t="s">
        <v>39</v>
      </c>
      <c r="F21" s="188" t="s">
        <v>61</v>
      </c>
      <c r="G21" s="131"/>
      <c r="H21" s="131"/>
      <c r="I21" s="199"/>
      <c r="J21" s="114"/>
      <c r="K21" s="114"/>
      <c r="L21" s="115">
        <f t="shared" si="0"/>
      </c>
      <c r="M21" s="106">
        <f t="shared" si="1"/>
      </c>
      <c r="N21" s="107">
        <f t="shared" si="2"/>
      </c>
      <c r="O21" s="108">
        <f t="shared" si="5"/>
      </c>
      <c r="P21" s="109">
        <f>IF(N21="","",IF(N21-K21=0,"",(IF(N21-K21&gt;P!$B$7,P!$B$7,(IF((N21-K21)/H21&lt;P!$B$12,"0",IF(N21-K21&lt;P!$B$7,N21-K21)))))))</f>
      </c>
      <c r="Q21" s="107">
        <f t="shared" si="6"/>
      </c>
      <c r="R21" s="108">
        <f>IF(P21="","",ROUND(P21*P!$B$9%,2))</f>
      </c>
      <c r="S21" s="107">
        <f t="shared" si="7"/>
      </c>
      <c r="T21" s="108">
        <f>IF(P21="","",ROUND(P21*P!$B$16%,2))</f>
      </c>
      <c r="U21" s="132"/>
      <c r="V21" s="108">
        <f>IF(N21="","",IF(P!$G$13="H","",IF(P!$G$13="E",(SUM(N21-Q21-S21)))))</f>
      </c>
      <c r="W21" s="108">
        <f>IF(N21="","",IF(P!$G$13="H","",IF(P!$G$13="E",(SUM(U21+V21)))))</f>
      </c>
      <c r="X21" s="108">
        <f>IF(N21="","",KüMüLATiF!K21)</f>
      </c>
      <c r="Y21" s="133">
        <f>IF(OR(D21="",E21="",N21=""),"",IF(E21="İndirimsiz","",(INDEX(MH!$D$4:$E$14,MATCH(F21,MH!$B$4:$B$14,0),MATCH(E21,MH!$D$3:$E$3,0)))))</f>
      </c>
      <c r="Z21" s="111">
        <f>IF(OR(N21="",P!$G$13="H"),"",IF(Y21="",X21,IF(Y21&gt;X21,"",X21-Y21)))</f>
      </c>
      <c r="AA21" s="107">
        <f>IF(N21="","",IF(P!$G$14="H","",IF(P!$G$14="E",ROUND(N21*GVT!$A$19,2))))</f>
      </c>
      <c r="AB21" s="107">
        <f t="shared" si="3"/>
      </c>
      <c r="AC21" s="125">
        <f t="shared" si="4"/>
      </c>
      <c r="AD21" s="112"/>
      <c r="AE21" s="190">
        <v>10</v>
      </c>
      <c r="AH21" s="92">
        <f>P!$B$12</f>
        <v>119.25</v>
      </c>
    </row>
    <row r="22" spans="1:34" ht="12.75">
      <c r="A22" s="103">
        <v>12</v>
      </c>
      <c r="B22" s="124"/>
      <c r="C22" s="130"/>
      <c r="D22" s="129"/>
      <c r="E22" s="186" t="s">
        <v>38</v>
      </c>
      <c r="F22" s="188" t="s">
        <v>61</v>
      </c>
      <c r="G22" s="131"/>
      <c r="H22" s="131"/>
      <c r="I22" s="199"/>
      <c r="J22" s="114"/>
      <c r="K22" s="114"/>
      <c r="L22" s="115">
        <f t="shared" si="0"/>
      </c>
      <c r="M22" s="106">
        <f t="shared" si="1"/>
      </c>
      <c r="N22" s="107">
        <f t="shared" si="2"/>
      </c>
      <c r="O22" s="108">
        <f t="shared" si="5"/>
      </c>
      <c r="P22" s="109">
        <f>IF(N22="","",IF(N22-K22=0,"",(IF(N22-K22&gt;P!$B$7,P!$B$7,(IF((N22-K22)/H22&lt;P!$B$12,"0",IF(N22-K22&lt;P!$B$7,N22-K22)))))))</f>
      </c>
      <c r="Q22" s="107">
        <f t="shared" si="6"/>
      </c>
      <c r="R22" s="108">
        <f>IF(P22="","",ROUND(P22*P!$B$9%,2))</f>
      </c>
      <c r="S22" s="107">
        <f t="shared" si="7"/>
      </c>
      <c r="T22" s="108">
        <f>IF(P22="","",ROUND(P22*P!$B$16%,2))</f>
      </c>
      <c r="U22" s="132"/>
      <c r="V22" s="108">
        <f>IF(N22="","",IF(P!$G$13="H","",IF(P!$G$13="E",(SUM(N22-Q22-S22)))))</f>
      </c>
      <c r="W22" s="108">
        <f>IF(N22="","",IF(P!$G$13="H","",IF(P!$G$13="E",(SUM(U22+V22)))))</f>
      </c>
      <c r="X22" s="108">
        <f>IF(N22="","",KüMüLATiF!K22)</f>
      </c>
      <c r="Y22" s="133">
        <f>IF(OR(D22="",E22="",N22=""),"",IF(E22="İndirimsiz","",(INDEX(MH!$D$4:$E$14,MATCH(F22,MH!$B$4:$B$14,0),MATCH(E22,MH!$D$3:$E$3,0)))))</f>
      </c>
      <c r="Z22" s="111">
        <f>IF(OR(N22="",P!$G$13="H"),"",IF(Y22="",X22,IF(Y22&gt;X22,"",X22-Y22)))</f>
      </c>
      <c r="AA22" s="107">
        <f>IF(N22="","",IF(P!$G$14="H","",IF(P!$G$14="E",ROUND(N22*GVT!$A$19,2))))</f>
      </c>
      <c r="AB22" s="107">
        <f t="shared" si="3"/>
      </c>
      <c r="AC22" s="125">
        <f t="shared" si="4"/>
      </c>
      <c r="AD22" s="112"/>
      <c r="AE22" s="190">
        <v>11</v>
      </c>
      <c r="AH22" s="92">
        <f>P!$B$12</f>
        <v>119.25</v>
      </c>
    </row>
    <row r="23" spans="1:34" ht="12.75">
      <c r="A23" s="103">
        <v>13</v>
      </c>
      <c r="B23" s="124"/>
      <c r="C23" s="130"/>
      <c r="D23" s="129"/>
      <c r="E23" s="186" t="s">
        <v>38</v>
      </c>
      <c r="F23" s="188" t="s">
        <v>61</v>
      </c>
      <c r="G23" s="131"/>
      <c r="H23" s="131"/>
      <c r="I23" s="199"/>
      <c r="J23" s="114"/>
      <c r="K23" s="114"/>
      <c r="L23" s="115">
        <f t="shared" si="0"/>
      </c>
      <c r="M23" s="106">
        <f t="shared" si="1"/>
      </c>
      <c r="N23" s="107">
        <f t="shared" si="2"/>
      </c>
      <c r="O23" s="108">
        <f t="shared" si="5"/>
      </c>
      <c r="P23" s="109">
        <f>IF(N23="","",IF(N23-K23=0,"",(IF(N23-K23&gt;P!$B$7,P!$B$7,(IF((N23-K23)/H23&lt;P!$B$12,"0",IF(N23-K23&lt;P!$B$7,N23-K23)))))))</f>
      </c>
      <c r="Q23" s="107">
        <f t="shared" si="6"/>
      </c>
      <c r="R23" s="108">
        <f>IF(P23="","",ROUND(P23*P!$B$9%,2))</f>
      </c>
      <c r="S23" s="107">
        <f t="shared" si="7"/>
      </c>
      <c r="T23" s="108">
        <f>IF(P23="","",ROUND(P23*P!$B$16%,2))</f>
      </c>
      <c r="U23" s="132"/>
      <c r="V23" s="108">
        <f>IF(N23="","",IF(P!$G$13="H","",IF(P!$G$13="E",(SUM(N23-Q23-S23)))))</f>
      </c>
      <c r="W23" s="108">
        <f>IF(N23="","",IF(P!$G$13="H","",IF(P!$G$13="E",(SUM(U23+V23)))))</f>
      </c>
      <c r="X23" s="108">
        <f>IF(N23="","",KüMüLATiF!K23)</f>
      </c>
      <c r="Y23" s="133">
        <f>IF(OR(D23="",E23="",N23=""),"",IF(E23="İndirimsiz","",(INDEX(MH!$D$4:$E$14,MATCH(F23,MH!$B$4:$B$14,0),MATCH(E23,MH!$D$3:$E$3,0)))))</f>
      </c>
      <c r="Z23" s="111">
        <f>IF(OR(N23="",P!$G$13="H"),"",IF(Y23="",X23,IF(Y23&gt;X23,"",X23-Y23)))</f>
      </c>
      <c r="AA23" s="107">
        <f>IF(N23="","",IF(P!$G$14="H","",IF(P!$G$14="E",ROUND(N23*GVT!$A$19,2))))</f>
      </c>
      <c r="AB23" s="107">
        <f t="shared" si="3"/>
      </c>
      <c r="AC23" s="125">
        <f t="shared" si="4"/>
      </c>
      <c r="AD23" s="112"/>
      <c r="AE23" s="190">
        <v>12</v>
      </c>
      <c r="AH23" s="92">
        <f>P!$B$12</f>
        <v>119.25</v>
      </c>
    </row>
    <row r="24" spans="1:34" ht="12.75">
      <c r="A24" s="103">
        <v>14</v>
      </c>
      <c r="B24" s="124"/>
      <c r="C24" s="130"/>
      <c r="D24" s="129"/>
      <c r="E24" s="186" t="s">
        <v>39</v>
      </c>
      <c r="F24" s="188" t="s">
        <v>61</v>
      </c>
      <c r="G24" s="131"/>
      <c r="H24" s="131"/>
      <c r="I24" s="199"/>
      <c r="J24" s="114"/>
      <c r="K24" s="114"/>
      <c r="L24" s="115">
        <f t="shared" si="0"/>
      </c>
      <c r="M24" s="106">
        <f t="shared" si="1"/>
      </c>
      <c r="N24" s="107">
        <f t="shared" si="2"/>
      </c>
      <c r="O24" s="108">
        <f t="shared" si="5"/>
      </c>
      <c r="P24" s="109">
        <f>IF(N24="","",IF(N24-K24=0,"",(IF(N24-K24&gt;P!$B$7,P!$B$7,(IF((N24-K24)/H24&lt;P!$B$12,"0",IF(N24-K24&lt;P!$B$7,N24-K24)))))))</f>
      </c>
      <c r="Q24" s="107">
        <f t="shared" si="6"/>
      </c>
      <c r="R24" s="108">
        <f>IF(P24="","",ROUND(P24*P!$B$9%,2))</f>
      </c>
      <c r="S24" s="107">
        <f t="shared" si="7"/>
      </c>
      <c r="T24" s="108">
        <f>IF(P24="","",ROUND(P24*P!$B$16%,2))</f>
      </c>
      <c r="U24" s="132"/>
      <c r="V24" s="108">
        <f>IF(N24="","",IF(P!$G$13="H","",IF(P!$G$13="E",(SUM(N24-Q24-S24)))))</f>
      </c>
      <c r="W24" s="108">
        <f>IF(N24="","",IF(P!$G$13="H","",IF(P!$G$13="E",(SUM(U24+V24)))))</f>
      </c>
      <c r="X24" s="108">
        <f>IF(N24="","",KüMüLATiF!K24)</f>
      </c>
      <c r="Y24" s="133">
        <f>IF(OR(D24="",E24="",N24=""),"",IF(E24="İndirimsiz","",(INDEX(MH!$D$4:$E$14,MATCH(F24,MH!$B$4:$B$14,0),MATCH(E24,MH!$D$3:$E$3,0)))))</f>
      </c>
      <c r="Z24" s="111">
        <f>IF(OR(N24="",P!$G$13="H"),"",IF(Y24="",X24,IF(Y24&gt;X24,"",X24-Y24)))</f>
      </c>
      <c r="AA24" s="107">
        <f>IF(N24="","",IF(P!$G$14="H","",IF(P!$G$14="E",ROUND(N24*GVT!$A$19,2))))</f>
      </c>
      <c r="AB24" s="107">
        <f t="shared" si="3"/>
      </c>
      <c r="AC24" s="125">
        <f t="shared" si="4"/>
      </c>
      <c r="AD24" s="112"/>
      <c r="AE24" s="190">
        <v>13</v>
      </c>
      <c r="AH24" s="92">
        <f>P!$B$12</f>
        <v>119.25</v>
      </c>
    </row>
    <row r="25" spans="1:34" ht="12.75">
      <c r="A25" s="103">
        <v>15</v>
      </c>
      <c r="B25" s="124"/>
      <c r="C25" s="130"/>
      <c r="D25" s="129"/>
      <c r="E25" s="186" t="s">
        <v>38</v>
      </c>
      <c r="F25" s="188" t="s">
        <v>61</v>
      </c>
      <c r="G25" s="131"/>
      <c r="H25" s="131"/>
      <c r="I25" s="199"/>
      <c r="J25" s="114"/>
      <c r="K25" s="114"/>
      <c r="L25" s="115">
        <f t="shared" si="0"/>
      </c>
      <c r="M25" s="106">
        <f t="shared" si="1"/>
      </c>
      <c r="N25" s="107">
        <f t="shared" si="2"/>
      </c>
      <c r="O25" s="108">
        <f t="shared" si="5"/>
      </c>
      <c r="P25" s="109">
        <f>IF(N25="","",IF(N25-K25=0,"",(IF(N25-K25&gt;P!$B$7,P!$B$7,(IF((N25-K25)/H25&lt;P!$B$12,"0",IF(N25-K25&lt;P!$B$7,N25-K25)))))))</f>
      </c>
      <c r="Q25" s="107">
        <f t="shared" si="6"/>
      </c>
      <c r="R25" s="108">
        <f>IF(P25="","",ROUND(P25*P!$B$9%,2))</f>
      </c>
      <c r="S25" s="107">
        <f t="shared" si="7"/>
      </c>
      <c r="T25" s="108">
        <f>IF(P25="","",ROUND(P25*P!$B$16%,2))</f>
      </c>
      <c r="U25" s="132"/>
      <c r="V25" s="108">
        <f>IF(N25="","",IF(P!$G$13="H","",IF(P!$G$13="E",(SUM(N25-Q25-S25)))))</f>
      </c>
      <c r="W25" s="108">
        <f>IF(N25="","",IF(P!$G$13="H","",IF(P!$G$13="E",(SUM(U25+V25)))))</f>
      </c>
      <c r="X25" s="108">
        <f>IF(N25="","",KüMüLATiF!K25)</f>
      </c>
      <c r="Y25" s="133">
        <f>IF(OR(D25="",E25="",N25=""),"",IF(E25="İndirimsiz","",(INDEX(MH!$D$4:$E$14,MATCH(F25,MH!$B$4:$B$14,0),MATCH(E25,MH!$D$3:$E$3,0)))))</f>
      </c>
      <c r="Z25" s="111">
        <f>IF(OR(N25="",P!$G$13="H"),"",IF(Y25="",X25,IF(Y25&gt;X25,"",X25-Y25)))</f>
      </c>
      <c r="AA25" s="107">
        <f>IF(N25="","",IF(P!$G$14="H","",IF(P!$G$14="E",ROUND(N25*GVT!$A$19,2))))</f>
      </c>
      <c r="AB25" s="107">
        <f t="shared" si="3"/>
      </c>
      <c r="AC25" s="125">
        <f t="shared" si="4"/>
      </c>
      <c r="AD25" s="112"/>
      <c r="AE25" s="190">
        <v>14</v>
      </c>
      <c r="AH25" s="92">
        <f>P!$B$12</f>
        <v>119.25</v>
      </c>
    </row>
    <row r="26" spans="1:34" ht="12.75">
      <c r="A26" s="103">
        <v>16</v>
      </c>
      <c r="B26" s="124"/>
      <c r="C26" s="130"/>
      <c r="D26" s="129"/>
      <c r="E26" s="186" t="s">
        <v>39</v>
      </c>
      <c r="F26" s="188">
        <v>1</v>
      </c>
      <c r="G26" s="131"/>
      <c r="H26" s="131"/>
      <c r="I26" s="199"/>
      <c r="J26" s="114"/>
      <c r="K26" s="114"/>
      <c r="L26" s="115">
        <f t="shared" si="0"/>
      </c>
      <c r="M26" s="106">
        <f t="shared" si="1"/>
      </c>
      <c r="N26" s="107">
        <f t="shared" si="2"/>
      </c>
      <c r="O26" s="108">
        <f t="shared" si="5"/>
      </c>
      <c r="P26" s="109">
        <f>IF(N26="","",IF(N26-K26=0,"",(IF(N26-K26&gt;P!$B$7,P!$B$7,(IF((N26-K26)/H26&lt;P!$B$12,"0",IF(N26-K26&lt;P!$B$7,N26-K26)))))))</f>
      </c>
      <c r="Q26" s="107">
        <f t="shared" si="6"/>
      </c>
      <c r="R26" s="108">
        <f>IF(P26="","",ROUND(P26*P!$B$9%,2))</f>
      </c>
      <c r="S26" s="107">
        <f t="shared" si="7"/>
      </c>
      <c r="T26" s="108">
        <f>IF(P26="","",ROUND(P26*P!$B$16%,2))</f>
      </c>
      <c r="U26" s="110"/>
      <c r="V26" s="108">
        <f>IF(N26="","",IF(P!$G$13="H","",IF(P!$G$13="E",(SUM(N26-Q26-S26)))))</f>
      </c>
      <c r="W26" s="108">
        <f>IF(N26="","",IF(P!$G$13="H","",IF(P!$G$13="E",(SUM(U26+V26)))))</f>
      </c>
      <c r="X26" s="108">
        <f>IF(N26="","",KüMüLATiF!K26)</f>
      </c>
      <c r="Y26" s="133">
        <f>IF(OR(D26="",E26="",N26=""),"",IF(E26="İndirimsiz","",(INDEX(MH!$D$4:$E$14,MATCH(F26,MH!$B$4:$B$14,0),MATCH(E26,MH!$D$3:$E$3,0)))))</f>
      </c>
      <c r="Z26" s="111">
        <f>IF(OR(N26="",P!$G$13="H"),"",IF(Y26="",X26,IF(Y26&gt;X26,"",X26-Y26)))</f>
      </c>
      <c r="AA26" s="107">
        <f>IF(N26="","",IF(P!$G$14="H","",IF(P!$G$14="E",ROUND(N26*GVT!$A$19,2))))</f>
      </c>
      <c r="AB26" s="107">
        <f t="shared" si="3"/>
      </c>
      <c r="AC26" s="125">
        <f t="shared" si="4"/>
      </c>
      <c r="AD26" s="112"/>
      <c r="AE26" s="190">
        <v>15</v>
      </c>
      <c r="AH26" s="92">
        <f>P!$B$12</f>
        <v>119.25</v>
      </c>
    </row>
    <row r="27" spans="1:34" ht="12">
      <c r="A27" s="103">
        <v>17</v>
      </c>
      <c r="B27" s="124"/>
      <c r="C27" s="113"/>
      <c r="D27" s="129"/>
      <c r="E27" s="186" t="s">
        <v>38</v>
      </c>
      <c r="F27" s="188">
        <v>2</v>
      </c>
      <c r="G27" s="131"/>
      <c r="H27" s="131"/>
      <c r="I27" s="199"/>
      <c r="J27" s="114"/>
      <c r="K27" s="114"/>
      <c r="L27" s="115">
        <f t="shared" si="0"/>
      </c>
      <c r="M27" s="106">
        <f t="shared" si="1"/>
      </c>
      <c r="N27" s="107">
        <f t="shared" si="2"/>
      </c>
      <c r="O27" s="108">
        <f t="shared" si="5"/>
      </c>
      <c r="P27" s="109">
        <f>IF(N27="","",IF(N27-K27=0,"",(IF(N27-K27&gt;P!$B$7,P!$B$7,(IF((N27-K27)/H27&lt;P!$B$12,"0",IF(N27-K27&lt;P!$B$7,N27-K27)))))))</f>
      </c>
      <c r="Q27" s="107">
        <f t="shared" si="6"/>
      </c>
      <c r="R27" s="108">
        <f>IF(P27="","",ROUND(P27*P!$B$9%,2))</f>
      </c>
      <c r="S27" s="107">
        <f t="shared" si="7"/>
      </c>
      <c r="T27" s="108">
        <f>IF(P27="","",ROUND(P27*P!$B$16%,2))</f>
      </c>
      <c r="U27" s="110"/>
      <c r="V27" s="108">
        <f>IF(N27="","",IF(P!$G$13="H","",IF(P!$G$13="E",(SUM(N27-Q27-S27)))))</f>
      </c>
      <c r="W27" s="108">
        <f>IF(N27="","",IF(P!$G$13="H","",IF(P!$G$13="E",(SUM(U27+V27)))))</f>
      </c>
      <c r="X27" s="108">
        <f>IF(N27="","",KüMüLATiF!K27)</f>
      </c>
      <c r="Y27" s="133">
        <f>IF(OR(D27="",E27="",N27=""),"",IF(E27="İndirimsiz","",(INDEX(MH!$D$4:$E$14,MATCH(F27,MH!$B$4:$B$14,0),MATCH(E27,MH!$D$3:$E$3,0)))))</f>
      </c>
      <c r="Z27" s="111">
        <f>IF(OR(N27="",P!$G$13="H"),"",IF(Y27="",X27,IF(Y27&gt;X27,"",X27-Y27)))</f>
      </c>
      <c r="AA27" s="107">
        <f>IF(N27="","",IF(P!$G$14="H","",IF(P!$G$14="E",ROUND(N27*GVT!$A$19,2))))</f>
      </c>
      <c r="AB27" s="107">
        <f t="shared" si="3"/>
      </c>
      <c r="AC27" s="107">
        <f t="shared" si="4"/>
      </c>
      <c r="AD27" s="112"/>
      <c r="AE27" s="190">
        <v>16</v>
      </c>
      <c r="AH27" s="92">
        <f>P!$B$12</f>
        <v>119.25</v>
      </c>
    </row>
    <row r="28" spans="1:34" ht="12">
      <c r="A28" s="103">
        <v>18</v>
      </c>
      <c r="B28" s="124"/>
      <c r="C28" s="113"/>
      <c r="D28" s="129"/>
      <c r="E28" s="186" t="s">
        <v>39</v>
      </c>
      <c r="F28" s="188">
        <v>3</v>
      </c>
      <c r="G28" s="131"/>
      <c r="H28" s="131"/>
      <c r="I28" s="200"/>
      <c r="J28" s="114"/>
      <c r="K28" s="114"/>
      <c r="L28" s="115">
        <f t="shared" si="0"/>
      </c>
      <c r="M28" s="106">
        <f t="shared" si="1"/>
      </c>
      <c r="N28" s="107">
        <f t="shared" si="2"/>
      </c>
      <c r="O28" s="108">
        <f t="shared" si="5"/>
      </c>
      <c r="P28" s="109">
        <f>IF(N28="","",IF(N28-K28=0,"",(IF(N28-K28&gt;P!$B$7,P!$B$7,(IF((N28-K28)/H28&lt;P!$B$12,"0",IF(N28-K28&lt;P!$B$7,N28-K28)))))))</f>
      </c>
      <c r="Q28" s="107">
        <f t="shared" si="6"/>
      </c>
      <c r="R28" s="108">
        <f>IF(P28="","",ROUND(P28*P!$B$9%,2))</f>
      </c>
      <c r="S28" s="107">
        <f t="shared" si="7"/>
      </c>
      <c r="T28" s="108">
        <f>IF(P28="","",ROUND(P28*P!$B$16%,2))</f>
      </c>
      <c r="U28" s="110"/>
      <c r="V28" s="108">
        <f>IF(N28="","",IF(P!$G$13="H","",IF(P!$G$13="E",(SUM(N28-Q28-S28)))))</f>
      </c>
      <c r="W28" s="108">
        <f>IF(N28="","",IF(P!$G$13="H","",IF(P!$G$13="E",(SUM(U28+V28)))))</f>
      </c>
      <c r="X28" s="108">
        <f>IF(N28="","",KüMüLATiF!K28)</f>
      </c>
      <c r="Y28" s="133">
        <f>IF(OR(D28="",E28="",N28=""),"",IF(E28="İndirimsiz","",(INDEX(MH!$D$4:$E$14,MATCH(F28,MH!$B$4:$B$14,0),MATCH(E28,MH!$D$3:$E$3,0)))))</f>
      </c>
      <c r="Z28" s="111">
        <f>IF(OR(N28="",P!$G$13="H"),"",IF(Y28="",X28,IF(Y28&gt;X28,"",X28-Y28)))</f>
      </c>
      <c r="AA28" s="107">
        <f>IF(N28="","",IF(P!$G$14="H","",IF(P!$G$14="E",ROUND(N28*GVT!$A$19,2))))</f>
      </c>
      <c r="AB28" s="107">
        <f t="shared" si="3"/>
      </c>
      <c r="AC28" s="107">
        <f t="shared" si="4"/>
      </c>
      <c r="AD28" s="112"/>
      <c r="AE28" s="190">
        <v>17</v>
      </c>
      <c r="AH28" s="92">
        <f>P!$B$12</f>
        <v>119.25</v>
      </c>
    </row>
    <row r="29" spans="1:34" ht="12">
      <c r="A29" s="103">
        <v>19</v>
      </c>
      <c r="B29" s="124"/>
      <c r="C29" s="113"/>
      <c r="D29" s="129"/>
      <c r="E29" s="186" t="s">
        <v>39</v>
      </c>
      <c r="F29" s="188">
        <v>4</v>
      </c>
      <c r="G29" s="131"/>
      <c r="H29" s="131"/>
      <c r="I29" s="200"/>
      <c r="J29" s="114"/>
      <c r="K29" s="114"/>
      <c r="L29" s="115">
        <f t="shared" si="0"/>
      </c>
      <c r="M29" s="106">
        <f t="shared" si="1"/>
      </c>
      <c r="N29" s="107">
        <f t="shared" si="2"/>
      </c>
      <c r="O29" s="108">
        <f t="shared" si="5"/>
      </c>
      <c r="P29" s="109">
        <f>IF(N29="","",IF(N29-K29=0,"",(IF(N29-K29&gt;P!$B$7,P!$B$7,(IF((N29-K29)/H29&lt;P!$B$12,"0",IF(N29-K29&lt;P!$B$7,N29-K29)))))))</f>
      </c>
      <c r="Q29" s="107">
        <f t="shared" si="6"/>
      </c>
      <c r="R29" s="108">
        <f>IF(P29="","",ROUND(P29*P!$B$9%,2))</f>
      </c>
      <c r="S29" s="107">
        <f t="shared" si="7"/>
      </c>
      <c r="T29" s="108">
        <f>IF(P29="","",ROUND(P29*P!$B$16%,2))</f>
      </c>
      <c r="U29" s="110"/>
      <c r="V29" s="108">
        <f>IF(N29="","",IF(P!$G$13="H","",IF(P!$G$13="E",(SUM(N29-Q29-S29)))))</f>
      </c>
      <c r="W29" s="108">
        <f>IF(N29="","",IF(P!$G$13="H","",IF(P!$G$13="E",(SUM(U29+V29)))))</f>
      </c>
      <c r="X29" s="108">
        <f>IF(N29="","",KüMüLATiF!K29)</f>
      </c>
      <c r="Y29" s="133">
        <f>IF(OR(D29="",E29="",N29=""),"",IF(E29="İndirimsiz","",(INDEX(MH!$D$4:$E$14,MATCH(F29,MH!$B$4:$B$14,0),MATCH(E29,MH!$D$3:$E$3,0)))))</f>
      </c>
      <c r="Z29" s="111">
        <f>IF(OR(N29="",P!$G$13="H"),"",IF(Y29="",X29,IF(Y29&gt;X29,"",X29-Y29)))</f>
      </c>
      <c r="AA29" s="107">
        <f>IF(N29="","",IF(P!$G$14="H","",IF(P!$G$14="E",ROUND(N29*GVT!$A$19,2))))</f>
      </c>
      <c r="AB29" s="107">
        <f t="shared" si="3"/>
      </c>
      <c r="AC29" s="107">
        <f t="shared" si="4"/>
      </c>
      <c r="AD29" s="112"/>
      <c r="AE29" s="190">
        <v>18</v>
      </c>
      <c r="AH29" s="92">
        <f>P!$B$12</f>
        <v>119.25</v>
      </c>
    </row>
    <row r="30" spans="1:34" ht="12">
      <c r="A30" s="103">
        <v>20</v>
      </c>
      <c r="B30" s="123"/>
      <c r="C30" s="104"/>
      <c r="D30" s="129"/>
      <c r="E30" s="186" t="s">
        <v>39</v>
      </c>
      <c r="F30" s="188" t="s">
        <v>61</v>
      </c>
      <c r="G30" s="131"/>
      <c r="H30" s="131"/>
      <c r="I30" s="199"/>
      <c r="J30" s="114"/>
      <c r="K30" s="114"/>
      <c r="L30" s="115">
        <f t="shared" si="0"/>
      </c>
      <c r="M30" s="106">
        <f t="shared" si="1"/>
      </c>
      <c r="N30" s="107">
        <f t="shared" si="2"/>
      </c>
      <c r="O30" s="108">
        <f t="shared" si="5"/>
      </c>
      <c r="P30" s="109">
        <f>IF(N30="","",IF(N30-K30=0,"",(IF(N30-K30&gt;P!$B$7,P!$B$7,(IF((N30-K30)/H30&lt;P!$B$12,"0",IF(N30-K30&lt;P!$B$7,N30-K30)))))))</f>
      </c>
      <c r="Q30" s="107">
        <f t="shared" si="6"/>
      </c>
      <c r="R30" s="108">
        <f>IF(P30="","",ROUND(P30*P!$B$9%,2))</f>
      </c>
      <c r="S30" s="107">
        <f t="shared" si="7"/>
      </c>
      <c r="T30" s="108">
        <f>IF(P30="","",ROUND(P30*P!$B$16%,2))</f>
      </c>
      <c r="U30" s="110"/>
      <c r="V30" s="108">
        <f>IF(N30="","",IF(P!$G$13="H","",IF(P!$G$13="E",(SUM(N30-Q30-S30)))))</f>
      </c>
      <c r="W30" s="108">
        <f>IF(N30="","",IF(P!$G$13="H","",IF(P!$G$13="E",(SUM(U30+V30)))))</f>
      </c>
      <c r="X30" s="108">
        <f>IF(N30="","",KüMüLATiF!K30)</f>
      </c>
      <c r="Y30" s="133">
        <f>IF(OR(D30="",E30="",N30=""),"",IF(E30="İndirimsiz","",(INDEX(MH!$D$4:$E$14,MATCH(F30,MH!$B$4:$B$14,0),MATCH(E30,MH!$D$3:$E$3,0)))))</f>
      </c>
      <c r="Z30" s="111">
        <f>IF(OR(N30="",P!$G$13="H"),"",IF(Y30="",X30,IF(Y30&gt;X30,"",X30-Y30)))</f>
      </c>
      <c r="AA30" s="107">
        <f>IF(N30="","",IF(P!$G$14="H","",IF(P!$G$14="E",ROUND(N30*GVT!$A$19,2))))</f>
      </c>
      <c r="AB30" s="107">
        <f t="shared" si="3"/>
      </c>
      <c r="AC30" s="107">
        <f t="shared" si="4"/>
      </c>
      <c r="AD30" s="112"/>
      <c r="AE30" s="190">
        <v>19</v>
      </c>
      <c r="AH30" s="92">
        <f>P!$B$12</f>
        <v>119.25</v>
      </c>
    </row>
    <row r="31" spans="1:34" s="19" customFormat="1" ht="12.75" customHeight="1">
      <c r="A31" s="116"/>
      <c r="B31" s="72"/>
      <c r="C31" s="117"/>
      <c r="D31" s="217"/>
      <c r="E31" s="217"/>
      <c r="F31" s="217"/>
      <c r="G31" s="118">
        <f>IF(SUM(G11:G30)=0,"",SUM(G11:G30))</f>
        <v>150</v>
      </c>
      <c r="H31" s="118">
        <f>IF(SUM(H11:H30)=0,"",SUM(H11:H30))</f>
        <v>150</v>
      </c>
      <c r="I31" s="119"/>
      <c r="J31" s="120">
        <f>IF(SUM(J11:J16)=0,"",SUM(J11:J16))</f>
      </c>
      <c r="K31" s="120">
        <f>IF(SUM(K11:K16)=0,"",SUM(K11:K16))</f>
      </c>
      <c r="L31" s="121">
        <f aca="true" t="shared" si="8" ref="L31:T31">IF(SUM(L11:L30)=0,"",SUM(L11:L30))</f>
        <v>3577.5</v>
      </c>
      <c r="M31" s="106">
        <f t="shared" si="8"/>
      </c>
      <c r="N31" s="107">
        <f t="shared" si="8"/>
        <v>3577.5</v>
      </c>
      <c r="O31" s="108">
        <f t="shared" si="8"/>
        <v>4400.33</v>
      </c>
      <c r="P31" s="108">
        <f t="shared" si="8"/>
        <v>3577.5</v>
      </c>
      <c r="Q31" s="107">
        <f t="shared" si="8"/>
        <v>500.85</v>
      </c>
      <c r="R31" s="108">
        <f t="shared" si="8"/>
        <v>751.28</v>
      </c>
      <c r="S31" s="107">
        <f t="shared" si="8"/>
        <v>35.78</v>
      </c>
      <c r="T31" s="108">
        <f t="shared" si="8"/>
        <v>71.55</v>
      </c>
      <c r="U31" s="122"/>
      <c r="V31" s="122"/>
      <c r="W31" s="122"/>
      <c r="X31" s="111">
        <f aca="true" t="shared" si="9" ref="X31:AC31">IF(SUM(X11:X30)=0,"",SUM(X11:X30))</f>
        <v>456.1305</v>
      </c>
      <c r="Y31" s="111">
        <f t="shared" si="9"/>
        <v>268.3125</v>
      </c>
      <c r="Z31" s="111">
        <f t="shared" si="9"/>
        <v>187.81799999999998</v>
      </c>
      <c r="AA31" s="121">
        <f t="shared" si="9"/>
        <v>27.15</v>
      </c>
      <c r="AB31" s="107">
        <f t="shared" si="9"/>
        <v>751.598</v>
      </c>
      <c r="AC31" s="107">
        <f t="shared" si="9"/>
        <v>2825.902</v>
      </c>
      <c r="AD31" s="116"/>
      <c r="AE31" s="191">
        <v>20</v>
      </c>
      <c r="AF31" s="195"/>
      <c r="AH31" s="16"/>
    </row>
    <row r="32" spans="1:34" s="19" customFormat="1" ht="12.75" customHeight="1">
      <c r="A32" s="246" t="s">
        <v>85</v>
      </c>
      <c r="B32" s="246"/>
      <c r="C32" s="51"/>
      <c r="D32" s="50"/>
      <c r="E32" s="50"/>
      <c r="F32" s="50"/>
      <c r="G32" s="51"/>
      <c r="H32" s="51"/>
      <c r="I32" s="20"/>
      <c r="J32" s="52"/>
      <c r="K32" s="52"/>
      <c r="L32" s="53"/>
      <c r="M32" s="54"/>
      <c r="N32" s="42"/>
      <c r="O32" s="21"/>
      <c r="P32" s="21"/>
      <c r="Q32" s="42"/>
      <c r="R32" s="21"/>
      <c r="S32" s="42"/>
      <c r="T32" s="21"/>
      <c r="U32" s="21"/>
      <c r="V32" s="21"/>
      <c r="W32" s="94"/>
      <c r="X32" s="90"/>
      <c r="Y32" s="91"/>
      <c r="Z32" s="90"/>
      <c r="AA32" s="53"/>
      <c r="AB32" s="42"/>
      <c r="AC32" s="42"/>
      <c r="AE32" s="192">
        <v>21</v>
      </c>
      <c r="AF32" s="195"/>
      <c r="AH32" s="16"/>
    </row>
    <row r="33" spans="1:34" s="19" customFormat="1" ht="12.75" customHeight="1">
      <c r="A33" s="74" t="s">
        <v>86</v>
      </c>
      <c r="B33" s="72"/>
      <c r="C33" s="51"/>
      <c r="D33" s="50"/>
      <c r="E33" s="50"/>
      <c r="F33" s="50"/>
      <c r="G33" s="51"/>
      <c r="H33" s="51"/>
      <c r="I33" s="20"/>
      <c r="J33" s="52"/>
      <c r="K33" s="52"/>
      <c r="L33" s="53"/>
      <c r="M33" s="54"/>
      <c r="N33" s="42"/>
      <c r="O33" s="21"/>
      <c r="P33" s="21"/>
      <c r="Q33" s="42"/>
      <c r="R33" s="21"/>
      <c r="S33" s="42"/>
      <c r="T33" s="21"/>
      <c r="U33" s="21"/>
      <c r="V33" s="21"/>
      <c r="W33" s="21"/>
      <c r="X33" s="42"/>
      <c r="Y33" s="42"/>
      <c r="Z33" s="42"/>
      <c r="AA33" s="53"/>
      <c r="AB33" s="42"/>
      <c r="AC33" s="42"/>
      <c r="AE33" s="192">
        <v>22</v>
      </c>
      <c r="AF33" s="195"/>
      <c r="AH33" s="16"/>
    </row>
    <row r="34" spans="1:34" s="19" customFormat="1" ht="12.75" customHeight="1">
      <c r="A34" s="74" t="s">
        <v>87</v>
      </c>
      <c r="B34" s="72"/>
      <c r="C34" s="51"/>
      <c r="D34" s="50"/>
      <c r="E34" s="50"/>
      <c r="F34" s="50"/>
      <c r="G34" s="51"/>
      <c r="H34" s="51"/>
      <c r="I34" s="20"/>
      <c r="J34" s="52"/>
      <c r="K34" s="52"/>
      <c r="L34" s="53"/>
      <c r="M34" s="54"/>
      <c r="N34" s="42"/>
      <c r="O34" s="21"/>
      <c r="P34" s="21"/>
      <c r="Q34" s="42"/>
      <c r="R34" s="21"/>
      <c r="S34" s="42"/>
      <c r="T34" s="21"/>
      <c r="U34" s="21"/>
      <c r="V34" s="21"/>
      <c r="W34" s="21"/>
      <c r="X34" s="42"/>
      <c r="Y34" s="42"/>
      <c r="Z34" s="42"/>
      <c r="AA34" s="53"/>
      <c r="AB34" s="42"/>
      <c r="AC34" s="42"/>
      <c r="AE34" s="192">
        <v>23</v>
      </c>
      <c r="AF34" s="195"/>
      <c r="AH34" s="16"/>
    </row>
    <row r="35" spans="1:34" ht="12.75" customHeight="1">
      <c r="A35" s="74" t="s">
        <v>97</v>
      </c>
      <c r="B35" s="73"/>
      <c r="O35" s="22"/>
      <c r="AE35" s="193">
        <v>24</v>
      </c>
      <c r="AH35" s="16"/>
    </row>
    <row r="36" spans="1:39" ht="12">
      <c r="A36" s="74" t="s">
        <v>88</v>
      </c>
      <c r="B36" s="72"/>
      <c r="C36" s="51"/>
      <c r="D36" s="50"/>
      <c r="E36" s="50"/>
      <c r="F36" s="23"/>
      <c r="G36" s="23"/>
      <c r="H36" s="23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194" t="s">
        <v>116</v>
      </c>
      <c r="AF36" s="196"/>
      <c r="AG36" s="24"/>
      <c r="AH36" s="24"/>
      <c r="AI36" s="24"/>
      <c r="AJ36" s="24"/>
      <c r="AK36" s="24"/>
      <c r="AL36" s="24"/>
      <c r="AM36" s="24"/>
    </row>
    <row r="37" spans="1:34" ht="12">
      <c r="A37" s="74" t="s">
        <v>89</v>
      </c>
      <c r="D37" s="23"/>
      <c r="E37" s="23"/>
      <c r="F37" s="23"/>
      <c r="G37" s="23"/>
      <c r="H37" s="23"/>
      <c r="I37" s="23"/>
      <c r="J37" s="23"/>
      <c r="K37" s="23"/>
      <c r="L37" s="23"/>
      <c r="M37" s="25"/>
      <c r="AE37" s="193">
        <v>26</v>
      </c>
      <c r="AH37" s="16"/>
    </row>
    <row r="38" spans="1:34" ht="12">
      <c r="A38" s="74" t="s">
        <v>90</v>
      </c>
      <c r="AE38" s="193">
        <v>27</v>
      </c>
      <c r="AH38" s="16"/>
    </row>
    <row r="39" spans="1:34" ht="12">
      <c r="A39" s="74" t="s">
        <v>91</v>
      </c>
      <c r="AE39" s="193">
        <v>28</v>
      </c>
      <c r="AH39" s="16"/>
    </row>
    <row r="40" spans="1:34" ht="12">
      <c r="A40" s="74" t="s">
        <v>99</v>
      </c>
      <c r="AE40" s="193">
        <v>29</v>
      </c>
      <c r="AH40" s="16"/>
    </row>
    <row r="41" spans="31:34" ht="10.5">
      <c r="AE41" s="193">
        <v>30</v>
      </c>
      <c r="AH41" s="16"/>
    </row>
    <row r="42" ht="10.5">
      <c r="AH42" s="16"/>
    </row>
    <row r="43" ht="10.5">
      <c r="AH43" s="16"/>
    </row>
    <row r="44" spans="2:34" ht="12.75">
      <c r="B44"/>
      <c r="C44" s="134"/>
      <c r="AH44" s="16"/>
    </row>
    <row r="45" spans="2:34" ht="12.75">
      <c r="B45"/>
      <c r="C45" s="134"/>
      <c r="AH45" s="16"/>
    </row>
    <row r="46" spans="2:34" ht="12.75">
      <c r="B46"/>
      <c r="C46" s="134"/>
      <c r="AH46" s="16"/>
    </row>
    <row r="47" spans="2:3" ht="12.75">
      <c r="B47"/>
      <c r="C47" s="134"/>
    </row>
    <row r="48" spans="2:3" ht="12.75">
      <c r="B48"/>
      <c r="C48" s="134"/>
    </row>
  </sheetData>
  <sheetProtection selectLockedCells="1"/>
  <mergeCells count="49">
    <mergeCell ref="A5:C5"/>
    <mergeCell ref="D5:I5"/>
    <mergeCell ref="J6:K6"/>
    <mergeCell ref="A6:A10"/>
    <mergeCell ref="B7:B10"/>
    <mergeCell ref="K7:K10"/>
    <mergeCell ref="J7:J10"/>
    <mergeCell ref="F7:F10"/>
    <mergeCell ref="G7:G10"/>
    <mergeCell ref="I7:I10"/>
    <mergeCell ref="AD6:AD10"/>
    <mergeCell ref="AB7:AB10"/>
    <mergeCell ref="A32:B32"/>
    <mergeCell ref="M7:M10"/>
    <mergeCell ref="AC6:AC10"/>
    <mergeCell ref="Y8:Y10"/>
    <mergeCell ref="Z8:Z10"/>
    <mergeCell ref="P6:AB6"/>
    <mergeCell ref="L6:N6"/>
    <mergeCell ref="L7:L10"/>
    <mergeCell ref="D3:N3"/>
    <mergeCell ref="D4:N4"/>
    <mergeCell ref="AH1:AH3"/>
    <mergeCell ref="A1:N1"/>
    <mergeCell ref="A2:C2"/>
    <mergeCell ref="A3:C3"/>
    <mergeCell ref="D2:N2"/>
    <mergeCell ref="A4:C4"/>
    <mergeCell ref="T8:T10"/>
    <mergeCell ref="Q8:Q10"/>
    <mergeCell ref="R8:R10"/>
    <mergeCell ref="S8:S10"/>
    <mergeCell ref="N7:N10"/>
    <mergeCell ref="P8:P10"/>
    <mergeCell ref="O6:O10"/>
    <mergeCell ref="P7:T7"/>
    <mergeCell ref="D31:F31"/>
    <mergeCell ref="B6:F6"/>
    <mergeCell ref="H7:H10"/>
    <mergeCell ref="G6:I6"/>
    <mergeCell ref="C7:C10"/>
    <mergeCell ref="D7:D10"/>
    <mergeCell ref="U7:AA7"/>
    <mergeCell ref="U8:W8"/>
    <mergeCell ref="W9:W10"/>
    <mergeCell ref="U9:U10"/>
    <mergeCell ref="V9:V10"/>
    <mergeCell ref="AA8:AA10"/>
    <mergeCell ref="X8:X10"/>
  </mergeCells>
  <dataValidations count="6">
    <dataValidation allowBlank="1" showInputMessage="1" showErrorMessage="1" promptTitle="DİKKAT !" prompt="1) ÇALIŞMA AYINI ve,&#10;2) BU AYDA PRAMETRELERDE BİR DEĞİŞİKLİK OLUP,&#10;    OLMADIĞINI KONTROL ETTİNİZMİ ?" sqref="L5 D5:F5"/>
    <dataValidation allowBlank="1" showErrorMessage="1" sqref="J5:K5 Q5 Q1"/>
    <dataValidation type="list" allowBlank="1" showInputMessage="1" showErrorMessage="1" sqref="E11:E30">
      <formula1>$E$8:$E$10</formula1>
    </dataValidation>
    <dataValidation type="decimal" operator="greaterThanOrEqual" allowBlank="1" showInputMessage="1" showErrorMessage="1" promptTitle="DİKKAT !" prompt="ASGARİ GÜNLÜK ÜCRETTEN AZ DEĞER GİRMEYİNİZ !&#10;" errorTitle="ASGARİ ÜCRETTEN AZ OLAMAZ !" error="EN AZ GÜNLÜK ASGARİ ÜCRETİ GİREBİLİRSİNİZ !" sqref="D11:D30">
      <formula1>AH11</formula1>
    </dataValidation>
    <dataValidation type="list" allowBlank="1" showInputMessage="1" showErrorMessage="1" sqref="AF12:AF16 F11:F30">
      <formula1>$AF$12:$AF$16</formula1>
    </dataValidation>
    <dataValidation type="list" allowBlank="1" showInputMessage="1" showErrorMessage="1" sqref="AE12:AE41 G11:H30">
      <formula1>$AE$12:$AE$42</formula1>
    </dataValidation>
  </dataValidations>
  <printOptions/>
  <pageMargins left="0.15748031496062992" right="0.1968503937007874" top="0.7480314960629921" bottom="0.984251968503937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7"/>
  <sheetViews>
    <sheetView showGridLines="0" showZeros="0" zoomScalePageLayoutView="0" workbookViewId="0" topLeftCell="A1">
      <selection activeCell="I12" sqref="I12:I31"/>
    </sheetView>
  </sheetViews>
  <sheetFormatPr defaultColWidth="8.875" defaultRowHeight="12.75"/>
  <cols>
    <col min="1" max="1" width="2.375" style="7" customWidth="1"/>
    <col min="2" max="2" width="17.25390625" style="7" customWidth="1"/>
    <col min="3" max="3" width="12.125" style="55" bestFit="1" customWidth="1"/>
    <col min="4" max="4" width="4.75390625" style="7" customWidth="1"/>
    <col min="5" max="5" width="7.875" style="7" customWidth="1"/>
    <col min="6" max="6" width="5.25390625" style="7" customWidth="1"/>
    <col min="7" max="8" width="3.25390625" style="7" customWidth="1"/>
    <col min="9" max="9" width="4.875" style="7" customWidth="1"/>
    <col min="10" max="10" width="7.25390625" style="7" customWidth="1"/>
    <col min="11" max="11" width="7.125" style="7" customWidth="1"/>
    <col min="12" max="12" width="8.25390625" style="7" customWidth="1"/>
    <col min="13" max="13" width="7.00390625" style="22" bestFit="1" customWidth="1"/>
    <col min="14" max="14" width="7.625" style="7" customWidth="1"/>
    <col min="15" max="15" width="7.875" style="7" customWidth="1"/>
    <col min="16" max="16" width="5.875" style="7" hidden="1" customWidth="1"/>
    <col min="17" max="17" width="7.25390625" style="7" customWidth="1"/>
    <col min="18" max="18" width="5.25390625" style="7" hidden="1" customWidth="1"/>
    <col min="19" max="19" width="5.375" style="7" customWidth="1"/>
    <col min="20" max="20" width="5.875" style="7" hidden="1" customWidth="1"/>
    <col min="21" max="21" width="7.25390625" style="7" customWidth="1"/>
    <col min="22" max="22" width="7.00390625" style="7" customWidth="1"/>
    <col min="23" max="23" width="8.125" style="7" customWidth="1"/>
    <col min="24" max="24" width="7.75390625" style="7" customWidth="1"/>
    <col min="25" max="26" width="7.375" style="7" customWidth="1"/>
    <col min="27" max="27" width="5.375" style="7" customWidth="1"/>
    <col min="28" max="28" width="7.875" style="7" customWidth="1"/>
    <col min="29" max="29" width="8.00390625" style="7" customWidth="1"/>
    <col min="30" max="30" width="6.25390625" style="7" customWidth="1"/>
    <col min="31" max="32" width="8.875" style="193" customWidth="1"/>
    <col min="33" max="33" width="8.875" style="7" hidden="1" customWidth="1"/>
    <col min="34" max="34" width="10.75390625" style="26" hidden="1" customWidth="1"/>
    <col min="35" max="35" width="8.875" style="7" hidden="1" customWidth="1"/>
    <col min="36" max="61" width="8.875" style="7" customWidth="1"/>
    <col min="62" max="62" width="14.25390625" style="7" customWidth="1"/>
    <col min="63" max="63" width="8.875" style="7" customWidth="1"/>
    <col min="64" max="64" width="12.25390625" style="7" customWidth="1"/>
    <col min="65" max="65" width="8.875" style="7" customWidth="1"/>
    <col min="66" max="66" width="15.125" style="7" customWidth="1"/>
    <col min="67" max="16384" width="8.875" style="7" customWidth="1"/>
  </cols>
  <sheetData>
    <row r="1" spans="1:34" ht="10.5">
      <c r="A1" s="238" t="s">
        <v>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6"/>
      <c r="P1" s="28" t="s">
        <v>31</v>
      </c>
      <c r="Q1" s="93" t="s">
        <v>73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H1" s="237" t="s">
        <v>1</v>
      </c>
    </row>
    <row r="2" spans="1:67" ht="12">
      <c r="A2" s="241" t="s">
        <v>12</v>
      </c>
      <c r="B2" s="241"/>
      <c r="C2" s="241"/>
      <c r="D2" s="242" t="str">
        <f>'BORDRO (Sayfa-1)'!D2:N2</f>
        <v>Esin KILIÇ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8"/>
      <c r="P2" s="9"/>
      <c r="Q2" s="8"/>
      <c r="R2" s="8"/>
      <c r="S2" s="10"/>
      <c r="AH2" s="237"/>
      <c r="BI2" s="11"/>
      <c r="BJ2" s="12"/>
      <c r="BK2" s="12"/>
      <c r="BL2" s="12"/>
      <c r="BM2" s="12"/>
      <c r="BN2" s="12"/>
      <c r="BO2" s="11"/>
    </row>
    <row r="3" spans="1:67" ht="12">
      <c r="A3" s="241" t="s">
        <v>11</v>
      </c>
      <c r="B3" s="241"/>
      <c r="C3" s="241"/>
      <c r="D3" s="242">
        <f>'BORDRO (Sayfa-1)'!D3:N3</f>
        <v>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13"/>
      <c r="P3" s="9"/>
      <c r="Q3" s="8"/>
      <c r="R3" s="8"/>
      <c r="S3" s="14"/>
      <c r="AH3" s="237"/>
      <c r="BI3" s="11"/>
      <c r="BJ3" s="12"/>
      <c r="BK3" s="12"/>
      <c r="BL3" s="12"/>
      <c r="BM3" s="12"/>
      <c r="BN3" s="12"/>
      <c r="BO3" s="11"/>
    </row>
    <row r="4" spans="1:67" ht="12">
      <c r="A4" s="241" t="s">
        <v>10</v>
      </c>
      <c r="B4" s="241"/>
      <c r="C4" s="241"/>
      <c r="D4" s="242">
        <f>'BORDRO (Sayfa-1)'!D4:N4</f>
        <v>0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13"/>
      <c r="P4" s="9"/>
      <c r="Q4" s="8"/>
      <c r="R4" s="8"/>
      <c r="S4" s="15"/>
      <c r="AH4" s="16"/>
      <c r="BI4" s="11"/>
      <c r="BJ4" s="12"/>
      <c r="BK4" s="12"/>
      <c r="BL4" s="12"/>
      <c r="BM4" s="12"/>
      <c r="BN4" s="12"/>
      <c r="BO4" s="11"/>
    </row>
    <row r="5" spans="1:67" ht="10.5" customHeight="1">
      <c r="A5" s="241" t="s">
        <v>29</v>
      </c>
      <c r="B5" s="241"/>
      <c r="C5" s="241"/>
      <c r="D5" s="254">
        <f>'BORDRO (Sayfa-1)'!D5:I5</f>
        <v>44197</v>
      </c>
      <c r="E5" s="255"/>
      <c r="F5" s="255"/>
      <c r="G5" s="255"/>
      <c r="H5" s="255"/>
      <c r="I5" s="256"/>
      <c r="J5" s="31"/>
      <c r="K5" s="32"/>
      <c r="L5" s="33"/>
      <c r="M5" s="33"/>
      <c r="N5" s="33"/>
      <c r="O5" s="17"/>
      <c r="P5" s="29"/>
      <c r="Q5" s="30"/>
      <c r="R5" s="27"/>
      <c r="S5" s="27"/>
      <c r="T5" s="27"/>
      <c r="U5" s="27"/>
      <c r="AH5" s="16"/>
      <c r="BI5" s="11"/>
      <c r="BJ5" s="12"/>
      <c r="BK5" s="12"/>
      <c r="BL5" s="12"/>
      <c r="BM5" s="12"/>
      <c r="BN5" s="12"/>
      <c r="BO5" s="11"/>
    </row>
    <row r="6" spans="1:67" ht="12.75" customHeight="1">
      <c r="A6" s="257" t="s">
        <v>3</v>
      </c>
      <c r="B6" s="218" t="s">
        <v>7</v>
      </c>
      <c r="C6" s="219"/>
      <c r="D6" s="219"/>
      <c r="E6" s="219"/>
      <c r="F6" s="219"/>
      <c r="G6" s="218" t="s">
        <v>17</v>
      </c>
      <c r="H6" s="219"/>
      <c r="I6" s="219"/>
      <c r="J6" s="218" t="s">
        <v>21</v>
      </c>
      <c r="K6" s="253"/>
      <c r="L6" s="218" t="s">
        <v>9</v>
      </c>
      <c r="M6" s="219"/>
      <c r="N6" s="253"/>
      <c r="O6" s="214" t="s">
        <v>32</v>
      </c>
      <c r="P6" s="250" t="s">
        <v>13</v>
      </c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2"/>
      <c r="AC6" s="211" t="s">
        <v>60</v>
      </c>
      <c r="AD6" s="209" t="s">
        <v>16</v>
      </c>
      <c r="AH6" s="16"/>
      <c r="BI6" s="11"/>
      <c r="BJ6" s="12"/>
      <c r="BK6" s="12"/>
      <c r="BL6" s="12"/>
      <c r="BM6" s="12"/>
      <c r="BN6" s="12"/>
      <c r="BO6" s="11"/>
    </row>
    <row r="7" spans="1:67" ht="31.5" customHeight="1">
      <c r="A7" s="258"/>
      <c r="B7" s="230" t="s">
        <v>8</v>
      </c>
      <c r="C7" s="223" t="s">
        <v>74</v>
      </c>
      <c r="D7" s="226" t="s">
        <v>4</v>
      </c>
      <c r="E7" s="61" t="s">
        <v>45</v>
      </c>
      <c r="F7" s="260" t="s">
        <v>63</v>
      </c>
      <c r="G7" s="220" t="s">
        <v>5</v>
      </c>
      <c r="H7" s="220" t="s">
        <v>20</v>
      </c>
      <c r="I7" s="220" t="s">
        <v>28</v>
      </c>
      <c r="J7" s="223" t="s">
        <v>56</v>
      </c>
      <c r="K7" s="223" t="s">
        <v>25</v>
      </c>
      <c r="L7" s="230" t="s">
        <v>55</v>
      </c>
      <c r="M7" s="223" t="s">
        <v>54</v>
      </c>
      <c r="N7" s="230" t="s">
        <v>6</v>
      </c>
      <c r="O7" s="215"/>
      <c r="P7" s="233" t="s">
        <v>14</v>
      </c>
      <c r="Q7" s="234"/>
      <c r="R7" s="234"/>
      <c r="S7" s="234"/>
      <c r="T7" s="235"/>
      <c r="U7" s="203" t="s">
        <v>15</v>
      </c>
      <c r="V7" s="204"/>
      <c r="W7" s="204"/>
      <c r="X7" s="204"/>
      <c r="Y7" s="204"/>
      <c r="Z7" s="204"/>
      <c r="AA7" s="205"/>
      <c r="AB7" s="243" t="s">
        <v>2</v>
      </c>
      <c r="AC7" s="213"/>
      <c r="AD7" s="229"/>
      <c r="AH7" s="16"/>
      <c r="BI7" s="11"/>
      <c r="BJ7" s="11"/>
      <c r="BK7" s="11"/>
      <c r="BL7" s="11"/>
      <c r="BM7" s="11"/>
      <c r="BN7" s="11"/>
      <c r="BO7" s="11"/>
    </row>
    <row r="8" spans="1:67" ht="15.75" customHeight="1">
      <c r="A8" s="258"/>
      <c r="B8" s="231"/>
      <c r="C8" s="224"/>
      <c r="D8" s="227"/>
      <c r="E8" s="57" t="s">
        <v>62</v>
      </c>
      <c r="F8" s="261"/>
      <c r="G8" s="221"/>
      <c r="H8" s="221"/>
      <c r="I8" s="221"/>
      <c r="J8" s="224"/>
      <c r="K8" s="224"/>
      <c r="L8" s="231"/>
      <c r="M8" s="224"/>
      <c r="N8" s="231"/>
      <c r="O8" s="215"/>
      <c r="P8" s="214" t="s">
        <v>43</v>
      </c>
      <c r="Q8" s="230" t="s">
        <v>49</v>
      </c>
      <c r="R8" s="223" t="s">
        <v>50</v>
      </c>
      <c r="S8" s="211" t="s">
        <v>51</v>
      </c>
      <c r="T8" s="209" t="s">
        <v>52</v>
      </c>
      <c r="U8" s="206" t="s">
        <v>95</v>
      </c>
      <c r="V8" s="207"/>
      <c r="W8" s="208"/>
      <c r="X8" s="214" t="s">
        <v>57</v>
      </c>
      <c r="Y8" s="247" t="s">
        <v>67</v>
      </c>
      <c r="Z8" s="243" t="s">
        <v>58</v>
      </c>
      <c r="AA8" s="211" t="s">
        <v>59</v>
      </c>
      <c r="AB8" s="244"/>
      <c r="AC8" s="213"/>
      <c r="AD8" s="229"/>
      <c r="AH8" s="16"/>
      <c r="BI8" s="11"/>
      <c r="BJ8" s="11"/>
      <c r="BK8" s="11"/>
      <c r="BL8" s="11"/>
      <c r="BM8" s="11"/>
      <c r="BN8" s="11"/>
      <c r="BO8" s="11"/>
    </row>
    <row r="9" spans="1:67" ht="15.75" customHeight="1">
      <c r="A9" s="258"/>
      <c r="B9" s="231"/>
      <c r="C9" s="224"/>
      <c r="D9" s="227"/>
      <c r="E9" s="56" t="s">
        <v>38</v>
      </c>
      <c r="F9" s="261"/>
      <c r="G9" s="221"/>
      <c r="H9" s="221"/>
      <c r="I9" s="221"/>
      <c r="J9" s="224"/>
      <c r="K9" s="224"/>
      <c r="L9" s="231"/>
      <c r="M9" s="224"/>
      <c r="N9" s="231"/>
      <c r="O9" s="215"/>
      <c r="P9" s="215"/>
      <c r="Q9" s="231"/>
      <c r="R9" s="224"/>
      <c r="S9" s="213"/>
      <c r="T9" s="229"/>
      <c r="U9" s="211" t="s">
        <v>106</v>
      </c>
      <c r="V9" s="209" t="s">
        <v>53</v>
      </c>
      <c r="W9" s="209" t="s">
        <v>96</v>
      </c>
      <c r="X9" s="215"/>
      <c r="Y9" s="248"/>
      <c r="Z9" s="244"/>
      <c r="AA9" s="213"/>
      <c r="AB9" s="244"/>
      <c r="AC9" s="213"/>
      <c r="AD9" s="229"/>
      <c r="AH9" s="16"/>
      <c r="BI9" s="11"/>
      <c r="BJ9" s="11"/>
      <c r="BK9" s="11"/>
      <c r="BL9" s="11"/>
      <c r="BM9" s="11"/>
      <c r="BN9" s="11"/>
      <c r="BO9" s="11"/>
    </row>
    <row r="10" spans="1:34" ht="15.75" customHeight="1">
      <c r="A10" s="259"/>
      <c r="B10" s="232"/>
      <c r="C10" s="225"/>
      <c r="D10" s="228"/>
      <c r="E10" s="58" t="s">
        <v>39</v>
      </c>
      <c r="F10" s="262"/>
      <c r="G10" s="222"/>
      <c r="H10" s="222"/>
      <c r="I10" s="222"/>
      <c r="J10" s="225"/>
      <c r="K10" s="225"/>
      <c r="L10" s="232"/>
      <c r="M10" s="225"/>
      <c r="N10" s="232"/>
      <c r="O10" s="216"/>
      <c r="P10" s="216"/>
      <c r="Q10" s="232"/>
      <c r="R10" s="225"/>
      <c r="S10" s="212"/>
      <c r="T10" s="210"/>
      <c r="U10" s="212"/>
      <c r="V10" s="210"/>
      <c r="W10" s="210"/>
      <c r="X10" s="216"/>
      <c r="Y10" s="249"/>
      <c r="Z10" s="245"/>
      <c r="AA10" s="212"/>
      <c r="AB10" s="245"/>
      <c r="AC10" s="212"/>
      <c r="AD10" s="210"/>
      <c r="AH10" s="16"/>
    </row>
    <row r="11" spans="1:34" ht="9" customHeight="1">
      <c r="A11" s="265" t="s">
        <v>44</v>
      </c>
      <c r="B11" s="266"/>
      <c r="C11" s="266"/>
      <c r="D11" s="266"/>
      <c r="E11" s="266"/>
      <c r="F11" s="266"/>
      <c r="G11" s="135">
        <f>'BORDRO (Sayfa-1)'!G31</f>
        <v>150</v>
      </c>
      <c r="H11" s="136">
        <f>'BORDRO (Sayfa-1)'!H31</f>
        <v>150</v>
      </c>
      <c r="I11" s="137"/>
      <c r="J11" s="138">
        <f>'BORDRO (Sayfa-1)'!J31</f>
      </c>
      <c r="K11" s="138">
        <f>'BORDRO (Sayfa-1)'!K31</f>
      </c>
      <c r="L11" s="139">
        <f>'BORDRO (Sayfa-1)'!L31</f>
        <v>3577.5</v>
      </c>
      <c r="M11" s="138" t="s">
        <v>119</v>
      </c>
      <c r="N11" s="139">
        <f>'BORDRO (Sayfa-1)'!N31</f>
        <v>3577.5</v>
      </c>
      <c r="O11" s="140">
        <f>'BORDRO (Sayfa-1)'!O31</f>
        <v>4400.33</v>
      </c>
      <c r="P11" s="141">
        <f>'BORDRO (Sayfa-1)'!P31</f>
        <v>3577.5</v>
      </c>
      <c r="Q11" s="142">
        <f>'BORDRO (Sayfa-1)'!Q31</f>
        <v>500.85</v>
      </c>
      <c r="R11" s="143">
        <f>'BORDRO (Sayfa-1)'!R31</f>
        <v>751.28</v>
      </c>
      <c r="S11" s="144">
        <f>'BORDRO (Sayfa-1)'!S31</f>
        <v>35.78</v>
      </c>
      <c r="T11" s="145">
        <f>'BORDRO (Sayfa-1)'!T31</f>
        <v>71.55</v>
      </c>
      <c r="U11" s="145"/>
      <c r="V11" s="146"/>
      <c r="W11" s="146"/>
      <c r="X11" s="144">
        <f>'BORDRO (Sayfa-1)'!X31</f>
        <v>456.1305</v>
      </c>
      <c r="Y11" s="147">
        <f>'BORDRO (Sayfa-1)'!Y31</f>
        <v>268.3125</v>
      </c>
      <c r="Z11" s="144">
        <f>'BORDRO (Sayfa-1)'!Z31</f>
        <v>187.81799999999998</v>
      </c>
      <c r="AA11" s="144">
        <f>'BORDRO (Sayfa-1)'!AA31</f>
        <v>27.15</v>
      </c>
      <c r="AB11" s="148">
        <f>'BORDRO (Sayfa-1)'!AB31</f>
        <v>751.598</v>
      </c>
      <c r="AC11" s="148">
        <f>'BORDRO (Sayfa-1)'!AC31</f>
        <v>2825.902</v>
      </c>
      <c r="AD11" s="149"/>
      <c r="AE11" s="190"/>
      <c r="AH11" s="16"/>
    </row>
    <row r="12" spans="1:34" ht="12">
      <c r="A12" s="150">
        <v>21</v>
      </c>
      <c r="B12" s="123"/>
      <c r="C12" s="183"/>
      <c r="D12" s="152"/>
      <c r="E12" s="187" t="s">
        <v>39</v>
      </c>
      <c r="F12" s="188" t="s">
        <v>61</v>
      </c>
      <c r="G12" s="131"/>
      <c r="H12" s="131"/>
      <c r="I12" s="201"/>
      <c r="J12" s="174"/>
      <c r="K12" s="174"/>
      <c r="L12" s="164">
        <f>IF((D12*G12)=0,"",D12*G12)</f>
      </c>
      <c r="M12" s="154">
        <f>IF(OR(D12="",G12="",I12=""),"",((D12/7.5)*1.5)*I12)</f>
      </c>
      <c r="N12" s="155">
        <f>IF(SUM(J12:M12)=0,"",SUM(J12:M12))</f>
      </c>
      <c r="O12" s="156">
        <f>IF(N12="","",IF(L12="",N12,(N12+R12+T12)))</f>
      </c>
      <c r="P12" s="157">
        <f>IF(N12="","",IF(N12-K12=0,"",(IF(N12-K12&gt;P!$B$7,P!$B$7,(IF((N12-K12)/H12&lt;P!$B$12,"0",IF(N12-K12&lt;P!$B$7,N12-K12)))))))</f>
      </c>
      <c r="Q12" s="155">
        <f>IF(P12="","",ROUND(P12*14%,2))</f>
      </c>
      <c r="R12" s="156">
        <f>IF(P12="","",ROUND(P12*P!$B$9%,2))</f>
      </c>
      <c r="S12" s="155">
        <f>IF(P12="","",ROUND(P12*1%,2))</f>
      </c>
      <c r="T12" s="156">
        <f>IF(P12="","",ROUND(P12*P!$B$16%,2))</f>
      </c>
      <c r="U12" s="175"/>
      <c r="V12" s="156">
        <f>IF(N12="","",IF(P!$G$13="H","",IF(P!$G$13="E",(SUM(N12-Q12-S12)))))</f>
      </c>
      <c r="W12" s="156">
        <f>IF(N12="","",IF(P!$G$13="H","",IF(P!$G$13="E",(SUM(U12+V12)))))</f>
      </c>
      <c r="X12" s="156">
        <f>IF(N12="","",KüMüLATiF!K31)</f>
      </c>
      <c r="Y12" s="159">
        <f>IF(OR(D12="",E12="",N12=""),"",IF(E12="İndirimsiz","",(INDEX(MH!$D$4:$E$14,MATCH(F12,MH!$B$4:$B$14,0),MATCH(E12,MH!$D$3:$E$3,0)))))</f>
      </c>
      <c r="Z12" s="160">
        <f>IF(OR(N12="",P!$G$13="H"),"",IF(Y12="",X12,IF(Y12&gt;X12,"",X12-Y12)))</f>
      </c>
      <c r="AA12" s="155">
        <f>IF(N12="","",IF(P!$G$14="H","",IF(P!$G$14="E",ROUND(N12*GVT!$A$19,2))))</f>
      </c>
      <c r="AB12" s="155">
        <f>IF(SUM(Q12,S12,Z12,AA12)=0,"",SUM(Q12,S12,Z12,AA12))</f>
      </c>
      <c r="AC12" s="155">
        <f aca="true" t="shared" si="0" ref="AC12:AC31">IF(N12="","",SUM(N12-AB12))</f>
      </c>
      <c r="AD12" s="161"/>
      <c r="AE12" s="190">
        <v>1</v>
      </c>
      <c r="AF12" s="189" t="s">
        <v>61</v>
      </c>
      <c r="AH12" s="92">
        <f>P!$B$12</f>
        <v>119.25</v>
      </c>
    </row>
    <row r="13" spans="1:34" ht="12">
      <c r="A13" s="150">
        <v>22</v>
      </c>
      <c r="B13" s="123"/>
      <c r="C13" s="151"/>
      <c r="D13" s="152"/>
      <c r="E13" s="187" t="s">
        <v>38</v>
      </c>
      <c r="F13" s="188">
        <v>1</v>
      </c>
      <c r="G13" s="131"/>
      <c r="H13" s="131"/>
      <c r="I13" s="202"/>
      <c r="J13" s="153"/>
      <c r="K13" s="153"/>
      <c r="L13" s="154">
        <f aca="true" t="shared" si="1" ref="L13:L31">IF((D13*G13)=0,"",D13*G13)</f>
      </c>
      <c r="M13" s="154">
        <f aca="true" t="shared" si="2" ref="M13:M31">IF(OR(D13="",G13="",I13=""),"",((D13/7.5)*1.5)*I13)</f>
      </c>
      <c r="N13" s="155">
        <f aca="true" t="shared" si="3" ref="N13:N31">IF(SUM(J13:M13)=0,"",SUM(J13:M13))</f>
      </c>
      <c r="O13" s="156">
        <f aca="true" t="shared" si="4" ref="O13:O31">IF(N13="","",IF(L13="",N13,(N13+R13+T13)))</f>
      </c>
      <c r="P13" s="157">
        <f>IF(N13="","",IF(N13-K13=0,"",(IF(N13-K13&gt;P!$B$7,P!$B$7,(IF((N13-K13)/H13&lt;P!$B$12,"0",IF(N13-K13&lt;P!$B$7,N13-K13)))))))</f>
      </c>
      <c r="Q13" s="155">
        <f aca="true" t="shared" si="5" ref="Q13:Q31">IF(P13="","",ROUND(P13*14%,2))</f>
      </c>
      <c r="R13" s="156">
        <f>IF(P13="","",ROUND(P13*P!$B$9%,2))</f>
      </c>
      <c r="S13" s="155">
        <f aca="true" t="shared" si="6" ref="S13:S31">IF(P13="","",ROUND(P13*1%,2))</f>
      </c>
      <c r="T13" s="156">
        <f>IF(P13="","",ROUND(P13*P!$B$16%,2))</f>
      </c>
      <c r="U13" s="158"/>
      <c r="V13" s="156">
        <f>IF(N13="","",IF(P!$G$13="H","",IF(P!$G$13="E",(SUM(N13-Q13-S13)))))</f>
      </c>
      <c r="W13" s="156">
        <f>IF(N13="","",IF(P!$G$13="H","",IF(P!$G$13="E",(SUM(U13+V13)))))</f>
      </c>
      <c r="X13" s="108">
        <f>IF(N13="","",KüMüLATiF!K32)</f>
      </c>
      <c r="Y13" s="159">
        <f>IF(OR(D13="",E13="",N13=""),"",IF(E13="İndirimsiz","",(INDEX(MH!$D$4:$E$14,MATCH(F13,MH!$B$4:$B$14,0),MATCH(E13,MH!$D$3:$E$3,0)))))</f>
      </c>
      <c r="Z13" s="160">
        <f>IF(OR(N13="",P!$G$13="H"),"",IF(Y13="",X13,IF(Y13&gt;X13,"",X13-Y13)))</f>
      </c>
      <c r="AA13" s="155">
        <f>IF(N13="","",IF(P!$G$14="H","",IF(P!$G$14="E",ROUND(N13*GVT!$A$19,2))))</f>
      </c>
      <c r="AB13" s="155">
        <f aca="true" t="shared" si="7" ref="AB13:AB31">IF(SUM(Q13,S13,Z13,AA13)=0,"",SUM(Q13,S13,Z13,AA13))</f>
      </c>
      <c r="AC13" s="155">
        <f t="shared" si="0"/>
      </c>
      <c r="AD13" s="161"/>
      <c r="AE13" s="190">
        <v>2</v>
      </c>
      <c r="AF13" s="189">
        <v>1</v>
      </c>
      <c r="AH13" s="92">
        <f>P!$B$12</f>
        <v>119.25</v>
      </c>
    </row>
    <row r="14" spans="1:34" ht="12">
      <c r="A14" s="150">
        <v>23</v>
      </c>
      <c r="B14" s="123"/>
      <c r="C14" s="151"/>
      <c r="D14" s="152"/>
      <c r="E14" s="187" t="s">
        <v>38</v>
      </c>
      <c r="F14" s="188">
        <v>2</v>
      </c>
      <c r="G14" s="131"/>
      <c r="H14" s="131"/>
      <c r="I14" s="202"/>
      <c r="J14" s="153"/>
      <c r="K14" s="153"/>
      <c r="L14" s="154">
        <f t="shared" si="1"/>
      </c>
      <c r="M14" s="154">
        <f t="shared" si="2"/>
      </c>
      <c r="N14" s="155">
        <f t="shared" si="3"/>
      </c>
      <c r="O14" s="156">
        <f t="shared" si="4"/>
      </c>
      <c r="P14" s="157">
        <f>IF(N14="","",IF(N14-K14=0,"",(IF(N14-K14&gt;P!$B$7,P!$B$7,(IF((N14-K14)/H14&lt;P!$B$12,"0",IF(N14-K14&lt;P!$B$7,N14-K14)))))))</f>
      </c>
      <c r="Q14" s="155">
        <f t="shared" si="5"/>
      </c>
      <c r="R14" s="156">
        <f>IF(P14="","",ROUND(P14*P!$B$9%,2))</f>
      </c>
      <c r="S14" s="155">
        <f t="shared" si="6"/>
      </c>
      <c r="T14" s="156">
        <f>IF(P14="","",ROUND(P14*P!$B$16%,2))</f>
      </c>
      <c r="U14" s="158"/>
      <c r="V14" s="156">
        <f>IF(N14="","",IF(P!$G$13="H","",IF(P!$G$13="E",(SUM(N14-Q14-S14)))))</f>
      </c>
      <c r="W14" s="156">
        <f>IF(N14="","",IF(P!$G$13="H","",IF(P!$G$13="E",(SUM(U14+V14)))))</f>
      </c>
      <c r="X14" s="108">
        <f>IF(N14="","",KüMüLATiF!K33)</f>
      </c>
      <c r="Y14" s="159">
        <f>IF(OR(D14="",E14="",N14=""),"",IF(E14="İndirimsiz","",(INDEX(MH!$D$4:$E$14,MATCH(F14,MH!$B$4:$B$14,0),MATCH(E14,MH!$D$3:$E$3,0)))))</f>
      </c>
      <c r="Z14" s="160">
        <f>IF(OR(N14="",P!$G$13="H"),"",IF(Y14="",X14,IF(Y14&gt;X14,"",X14-Y14)))</f>
      </c>
      <c r="AA14" s="155">
        <f>IF(N14="","",IF(P!$G$14="H","",IF(P!$G$14="E",ROUND(N14*GVT!$A$19,2))))</f>
      </c>
      <c r="AB14" s="155">
        <f t="shared" si="7"/>
      </c>
      <c r="AC14" s="155">
        <f t="shared" si="0"/>
      </c>
      <c r="AD14" s="161"/>
      <c r="AE14" s="190">
        <v>3</v>
      </c>
      <c r="AF14" s="189">
        <v>2</v>
      </c>
      <c r="AH14" s="92">
        <f>P!$B$12</f>
        <v>119.25</v>
      </c>
    </row>
    <row r="15" spans="1:34" ht="12">
      <c r="A15" s="150">
        <v>24</v>
      </c>
      <c r="B15" s="123"/>
      <c r="C15" s="151"/>
      <c r="D15" s="152"/>
      <c r="E15" s="187" t="s">
        <v>39</v>
      </c>
      <c r="F15" s="188">
        <v>3</v>
      </c>
      <c r="G15" s="131"/>
      <c r="H15" s="131"/>
      <c r="I15" s="202"/>
      <c r="J15" s="153"/>
      <c r="K15" s="153"/>
      <c r="L15" s="154">
        <f t="shared" si="1"/>
      </c>
      <c r="M15" s="154">
        <f t="shared" si="2"/>
      </c>
      <c r="N15" s="155">
        <f t="shared" si="3"/>
      </c>
      <c r="O15" s="156">
        <f t="shared" si="4"/>
      </c>
      <c r="P15" s="157">
        <f>IF(N15="","",IF(N15-K15=0,"",(IF(N15-K15&gt;P!$B$7,P!$B$7,(IF((N15-K15)/H15&lt;P!$B$12,"0",IF(N15-K15&lt;P!$B$7,N15-K15)))))))</f>
      </c>
      <c r="Q15" s="155">
        <f t="shared" si="5"/>
      </c>
      <c r="R15" s="156">
        <f>IF(P15="","",ROUND(P15*P!$B$9%,2))</f>
      </c>
      <c r="S15" s="155">
        <f t="shared" si="6"/>
      </c>
      <c r="T15" s="156">
        <f>IF(P15="","",ROUND(P15*P!$B$16%,2))</f>
      </c>
      <c r="U15" s="158"/>
      <c r="V15" s="156">
        <f>IF(N15="","",IF(P!$G$13="H","",IF(P!$G$13="E",(SUM(N15-Q15-S15)))))</f>
      </c>
      <c r="W15" s="156">
        <f>IF(N15="","",IF(P!$G$13="H","",IF(P!$G$13="E",(SUM(U15+V15)))))</f>
      </c>
      <c r="X15" s="108">
        <f>IF(N15="","",KüMüLATiF!K34)</f>
      </c>
      <c r="Y15" s="159">
        <f>IF(OR(D15="",E15="",N15=""),"",IF(E15="İndirimsiz","",(INDEX(MH!$D$4:$E$14,MATCH(F15,MH!$B$4:$B$14,0),MATCH(E15,MH!$D$3:$E$3,0)))))</f>
      </c>
      <c r="Z15" s="160">
        <f>IF(OR(N15="",P!$G$13="H"),"",IF(Y15="",X15,IF(Y15&gt;X15,"",X15-Y15)))</f>
      </c>
      <c r="AA15" s="155">
        <f>IF(N15="","",IF(P!$G$14="H","",IF(P!$G$14="E",ROUND(N15*GVT!$A$19,2))))</f>
      </c>
      <c r="AB15" s="155">
        <f t="shared" si="7"/>
      </c>
      <c r="AC15" s="155">
        <f t="shared" si="0"/>
      </c>
      <c r="AD15" s="161"/>
      <c r="AE15" s="190">
        <v>4</v>
      </c>
      <c r="AF15" s="189">
        <v>3</v>
      </c>
      <c r="AH15" s="92">
        <f>P!$B$12</f>
        <v>119.25</v>
      </c>
    </row>
    <row r="16" spans="1:34" ht="12">
      <c r="A16" s="150">
        <v>25</v>
      </c>
      <c r="B16" s="123"/>
      <c r="C16" s="183"/>
      <c r="D16" s="152"/>
      <c r="E16" s="187" t="s">
        <v>38</v>
      </c>
      <c r="F16" s="188">
        <v>4</v>
      </c>
      <c r="G16" s="131"/>
      <c r="H16" s="131"/>
      <c r="I16" s="202"/>
      <c r="J16" s="153"/>
      <c r="K16" s="153"/>
      <c r="L16" s="154">
        <f t="shared" si="1"/>
      </c>
      <c r="M16" s="154">
        <f t="shared" si="2"/>
      </c>
      <c r="N16" s="155">
        <f t="shared" si="3"/>
      </c>
      <c r="O16" s="156">
        <f t="shared" si="4"/>
      </c>
      <c r="P16" s="157">
        <f>IF(N16="","",IF(N16-K16=0,"",(IF(N16-K16&gt;P!$B$7,P!$B$7,(IF((N16-K16)/H16&lt;P!$B$12,"0",IF(N16-K16&lt;P!$B$7,N16-K16)))))))</f>
      </c>
      <c r="Q16" s="155">
        <f t="shared" si="5"/>
      </c>
      <c r="R16" s="156">
        <f>IF(P16="","",ROUND(P16*P!$B$9%,2))</f>
      </c>
      <c r="S16" s="155">
        <f t="shared" si="6"/>
      </c>
      <c r="T16" s="156">
        <f>IF(P16="","",ROUND(P16*P!$B$16%,2))</f>
      </c>
      <c r="U16" s="158"/>
      <c r="V16" s="156">
        <f>IF(N16="","",IF(P!$G$13="H","",IF(P!$G$13="E",(SUM(N16-Q16-S16)))))</f>
      </c>
      <c r="W16" s="156">
        <f>IF(N16="","",IF(P!$G$13="H","",IF(P!$G$13="E",(SUM(U16+V16)))))</f>
      </c>
      <c r="X16" s="108">
        <f>IF(N16="","",KüMüLATiF!K35)</f>
      </c>
      <c r="Y16" s="159">
        <f>IF(OR(D16="",E16="",N16=""),"",IF(E16="İndirimsiz","",(INDEX(MH!$D$4:$E$14,MATCH(F16,MH!$B$4:$B$14,0),MATCH(E16,MH!$D$3:$E$3,0)))))</f>
      </c>
      <c r="Z16" s="160">
        <f>IF(OR(N16="",P!$G$13="H"),"",IF(Y16="",X16,IF(Y16&gt;X16,"",X16-Y16)))</f>
      </c>
      <c r="AA16" s="155">
        <f>IF(N16="","",IF(P!$G$14="H","",IF(P!$G$14="E",ROUND(N16*GVT!$A$19,2))))</f>
      </c>
      <c r="AB16" s="155">
        <f t="shared" si="7"/>
      </c>
      <c r="AC16" s="155">
        <f t="shared" si="0"/>
      </c>
      <c r="AD16" s="161"/>
      <c r="AE16" s="190">
        <v>5</v>
      </c>
      <c r="AF16" s="189">
        <v>4</v>
      </c>
      <c r="AH16" s="92">
        <f>P!$B$12</f>
        <v>119.25</v>
      </c>
    </row>
    <row r="17" spans="1:34" ht="12">
      <c r="A17" s="150">
        <v>26</v>
      </c>
      <c r="B17" s="123"/>
      <c r="C17" s="162"/>
      <c r="D17" s="152"/>
      <c r="E17" s="187" t="s">
        <v>39</v>
      </c>
      <c r="F17" s="188" t="s">
        <v>61</v>
      </c>
      <c r="G17" s="131"/>
      <c r="H17" s="131"/>
      <c r="I17" s="202"/>
      <c r="J17" s="163"/>
      <c r="K17" s="163"/>
      <c r="L17" s="164">
        <f t="shared" si="1"/>
      </c>
      <c r="M17" s="154">
        <f t="shared" si="2"/>
      </c>
      <c r="N17" s="155">
        <f t="shared" si="3"/>
      </c>
      <c r="O17" s="156">
        <f t="shared" si="4"/>
      </c>
      <c r="P17" s="157">
        <f>IF(N17="","",IF(N17-K17=0,"",(IF(N17-K17&gt;P!$B$7,P!$B$7,(IF((N17-K17)/H17&lt;P!$B$12,"0",IF(N17-K17&lt;P!$B$7,N17-K17)))))))</f>
      </c>
      <c r="Q17" s="155">
        <f t="shared" si="5"/>
      </c>
      <c r="R17" s="156">
        <f>IF(P17="","",ROUND(P17*P!$B$9%,2))</f>
      </c>
      <c r="S17" s="155">
        <f t="shared" si="6"/>
      </c>
      <c r="T17" s="156">
        <f>IF(P17="","",ROUND(P17*P!$B$16%,2))</f>
      </c>
      <c r="U17" s="158"/>
      <c r="V17" s="156">
        <f>IF(N17="","",IF(P!$G$13="H","",IF(P!$G$13="E",(SUM(N17-Q17-S17)))))</f>
      </c>
      <c r="W17" s="156">
        <f>IF(N17="","",IF(P!$G$13="H","",IF(P!$G$13="E",(SUM(U17+V17)))))</f>
      </c>
      <c r="X17" s="108">
        <f>IF(N17="","",KüMüLATiF!K36)</f>
      </c>
      <c r="Y17" s="159">
        <f>IF(OR(D17="",E17="",N17=""),"",IF(E17="İndirimsiz","",(INDEX(MH!$D$4:$E$14,MATCH(F17,MH!$B$4:$B$14,0),MATCH(E17,MH!$D$3:$E$3,0)))))</f>
      </c>
      <c r="Z17" s="160">
        <f>IF(OR(N17="",P!$G$13="H"),"",IF(Y17="",X17,IF(Y17&gt;X17,"",X17-Y17)))</f>
      </c>
      <c r="AA17" s="155">
        <f>IF(N17="","",IF(P!$G$14="H","",IF(P!$G$14="E",ROUND(N17*GVT!$A$19,2))))</f>
      </c>
      <c r="AB17" s="155">
        <f t="shared" si="7"/>
      </c>
      <c r="AC17" s="155">
        <f t="shared" si="0"/>
      </c>
      <c r="AD17" s="161"/>
      <c r="AE17" s="190">
        <v>6</v>
      </c>
      <c r="AH17" s="92">
        <f>P!$B$12</f>
        <v>119.25</v>
      </c>
    </row>
    <row r="18" spans="1:34" ht="12">
      <c r="A18" s="150">
        <v>27</v>
      </c>
      <c r="B18" s="123"/>
      <c r="C18" s="162"/>
      <c r="D18" s="152"/>
      <c r="E18" s="187" t="s">
        <v>38</v>
      </c>
      <c r="F18" s="188">
        <v>1</v>
      </c>
      <c r="G18" s="131"/>
      <c r="H18" s="131"/>
      <c r="I18" s="202"/>
      <c r="J18" s="163"/>
      <c r="K18" s="163"/>
      <c r="L18" s="164">
        <f t="shared" si="1"/>
      </c>
      <c r="M18" s="154">
        <f t="shared" si="2"/>
      </c>
      <c r="N18" s="155">
        <f t="shared" si="3"/>
      </c>
      <c r="O18" s="156">
        <f t="shared" si="4"/>
      </c>
      <c r="P18" s="157">
        <f>IF(N18="","",IF(N18-K18=0,"",(IF(N18-K18&gt;P!$B$7,P!$B$7,(IF((N18-K18)/H18&lt;P!$B$12,"0",IF(N18-K18&lt;P!$B$7,N18-K18)))))))</f>
      </c>
      <c r="Q18" s="155">
        <f t="shared" si="5"/>
      </c>
      <c r="R18" s="156">
        <f>IF(P18="","",ROUND(P18*P!$B$9%,2))</f>
      </c>
      <c r="S18" s="155">
        <f t="shared" si="6"/>
      </c>
      <c r="T18" s="156">
        <f>IF(P18="","",ROUND(P18*P!$B$16%,2))</f>
      </c>
      <c r="U18" s="158"/>
      <c r="V18" s="156">
        <f>IF(N18="","",IF(P!$G$13="H","",IF(P!$G$13="E",(SUM(N18-Q18-S18)))))</f>
      </c>
      <c r="W18" s="156">
        <f>IF(N18="","",IF(P!$G$13="H","",IF(P!$G$13="E",(SUM(U18+V18)))))</f>
      </c>
      <c r="X18" s="108">
        <f>IF(N18="","",KüMüLATiF!K37)</f>
      </c>
      <c r="Y18" s="159">
        <f>IF(OR(D18="",E18="",N18=""),"",IF(E18="İndirimsiz","",(INDEX(MH!$D$4:$E$14,MATCH(F18,MH!$B$4:$B$14,0),MATCH(E18,MH!$D$3:$E$3,0)))))</f>
      </c>
      <c r="Z18" s="160">
        <f>IF(OR(N18="",P!$G$13="H"),"",IF(Y18="",X18,IF(Y18&gt;X18,"",X18-Y18)))</f>
      </c>
      <c r="AA18" s="155">
        <f>IF(N18="","",IF(P!$G$14="H","",IF(P!$G$14="E",ROUND(N18*GVT!$A$19,2))))</f>
      </c>
      <c r="AB18" s="155">
        <f t="shared" si="7"/>
      </c>
      <c r="AC18" s="155">
        <f t="shared" si="0"/>
      </c>
      <c r="AD18" s="161"/>
      <c r="AE18" s="190">
        <v>7</v>
      </c>
      <c r="AH18" s="92">
        <f>P!$B$12</f>
        <v>119.25</v>
      </c>
    </row>
    <row r="19" spans="1:34" ht="12">
      <c r="A19" s="150">
        <v>28</v>
      </c>
      <c r="B19" s="123"/>
      <c r="C19" s="162"/>
      <c r="D19" s="152"/>
      <c r="E19" s="187" t="s">
        <v>39</v>
      </c>
      <c r="F19" s="188">
        <v>2</v>
      </c>
      <c r="G19" s="131"/>
      <c r="H19" s="131"/>
      <c r="I19" s="202"/>
      <c r="J19" s="163"/>
      <c r="K19" s="163"/>
      <c r="L19" s="164">
        <f t="shared" si="1"/>
      </c>
      <c r="M19" s="154">
        <f t="shared" si="2"/>
      </c>
      <c r="N19" s="155">
        <f t="shared" si="3"/>
      </c>
      <c r="O19" s="156">
        <f t="shared" si="4"/>
      </c>
      <c r="P19" s="157">
        <f>IF(N19="","",IF(N19-K19=0,"",(IF(N19-K19&gt;P!$B$7,P!$B$7,(IF((N19-K19)/H19&lt;P!$B$12,"0",IF(N19-K19&lt;P!$B$7,N19-K19)))))))</f>
      </c>
      <c r="Q19" s="155">
        <f t="shared" si="5"/>
      </c>
      <c r="R19" s="156">
        <f>IF(P19="","",ROUND(P19*P!$B$9%,2))</f>
      </c>
      <c r="S19" s="155">
        <f t="shared" si="6"/>
      </c>
      <c r="T19" s="156">
        <f>IF(P19="","",ROUND(P19*P!$B$16%,2))</f>
      </c>
      <c r="U19" s="158"/>
      <c r="V19" s="156">
        <f>IF(N19="","",IF(P!$G$13="H","",IF(P!$G$13="E",(SUM(N19-Q19-S19)))))</f>
      </c>
      <c r="W19" s="156">
        <f>IF(N19="","",IF(P!$G$13="H","",IF(P!$G$13="E",(SUM(U19+V19)))))</f>
      </c>
      <c r="X19" s="108">
        <f>IF(N19="","",KüMüLATiF!K38)</f>
      </c>
      <c r="Y19" s="159">
        <f>IF(OR(D19="",E19="",N19=""),"",IF(E19="İndirimsiz","",(INDEX(MH!$D$4:$E$14,MATCH(F19,MH!$B$4:$B$14,0),MATCH(E19,MH!$D$3:$E$3,0)))))</f>
      </c>
      <c r="Z19" s="160">
        <f>IF(OR(N19="",P!$G$13="H"),"",IF(Y19="",X19,IF(Y19&gt;X19,"",X19-Y19)))</f>
      </c>
      <c r="AA19" s="155">
        <f>IF(N19="","",IF(P!$G$14="H","",IF(P!$G$14="E",ROUND(N19*GVT!$A$19,2))))</f>
      </c>
      <c r="AB19" s="155">
        <f t="shared" si="7"/>
      </c>
      <c r="AC19" s="155">
        <f t="shared" si="0"/>
      </c>
      <c r="AD19" s="161"/>
      <c r="AE19" s="190">
        <v>8</v>
      </c>
      <c r="AH19" s="92">
        <f>P!$B$12</f>
        <v>119.25</v>
      </c>
    </row>
    <row r="20" spans="1:34" ht="12">
      <c r="A20" s="150">
        <v>29</v>
      </c>
      <c r="B20" s="123"/>
      <c r="C20" s="162"/>
      <c r="D20" s="152"/>
      <c r="E20" s="186" t="s">
        <v>38</v>
      </c>
      <c r="F20" s="188">
        <v>3</v>
      </c>
      <c r="G20" s="131"/>
      <c r="H20" s="131"/>
      <c r="I20" s="202"/>
      <c r="J20" s="163"/>
      <c r="K20" s="163"/>
      <c r="L20" s="164">
        <f t="shared" si="1"/>
      </c>
      <c r="M20" s="154">
        <f t="shared" si="2"/>
      </c>
      <c r="N20" s="155">
        <f t="shared" si="3"/>
      </c>
      <c r="O20" s="156">
        <f t="shared" si="4"/>
      </c>
      <c r="P20" s="157">
        <f>IF(N20="","",IF(N20-K20=0,"",(IF(N20-K20&gt;P!$B$7,P!$B$7,(IF((N20-K20)/H20&lt;P!$B$12,"0",IF(N20-K20&lt;P!$B$7,N20-K20)))))))</f>
      </c>
      <c r="Q20" s="155">
        <f t="shared" si="5"/>
      </c>
      <c r="R20" s="156">
        <f>IF(P20="","",ROUND(P20*P!$B$9%,2))</f>
      </c>
      <c r="S20" s="155">
        <f t="shared" si="6"/>
      </c>
      <c r="T20" s="156">
        <f>IF(P20="","",ROUND(P20*P!$B$16%,2))</f>
      </c>
      <c r="U20" s="158"/>
      <c r="V20" s="156">
        <f>IF(N20="","",IF(P!$G$13="H","",IF(P!$G$13="E",(SUM(N20-Q20-S20)))))</f>
      </c>
      <c r="W20" s="156">
        <f>IF(N20="","",IF(P!$G$13="H","",IF(P!$G$13="E",(SUM(U20+V20)))))</f>
      </c>
      <c r="X20" s="108">
        <f>IF(N20="","",KüMüLATiF!K39)</f>
      </c>
      <c r="Y20" s="159">
        <f>IF(OR(D20="",E20="",N20=""),"",IF(E20="İndirimsiz","",(INDEX(MH!$D$4:$E$14,MATCH(F20,MH!$B$4:$B$14,0),MATCH(E20,MH!$D$3:$E$3,0)))))</f>
      </c>
      <c r="Z20" s="160">
        <f>IF(OR(N20="",P!$G$13="H"),"",IF(Y20="",X20,IF(Y20&gt;X20,"",X20-Y20)))</f>
      </c>
      <c r="AA20" s="155">
        <f>IF(N20="","",IF(P!$G$14="H","",IF(P!$G$14="E",ROUND(N20*GVT!$A$19,2))))</f>
      </c>
      <c r="AB20" s="155">
        <f t="shared" si="7"/>
      </c>
      <c r="AC20" s="155">
        <f t="shared" si="0"/>
      </c>
      <c r="AD20" s="161"/>
      <c r="AE20" s="190">
        <v>9</v>
      </c>
      <c r="AH20" s="92">
        <f>P!$B$12</f>
        <v>119.25</v>
      </c>
    </row>
    <row r="21" spans="1:34" ht="12">
      <c r="A21" s="150">
        <v>30</v>
      </c>
      <c r="B21" s="123"/>
      <c r="C21" s="162"/>
      <c r="D21" s="152"/>
      <c r="E21" s="186" t="s">
        <v>38</v>
      </c>
      <c r="F21" s="188">
        <v>4</v>
      </c>
      <c r="G21" s="131"/>
      <c r="H21" s="131"/>
      <c r="I21" s="202"/>
      <c r="J21" s="163"/>
      <c r="K21" s="163"/>
      <c r="L21" s="164">
        <f t="shared" si="1"/>
      </c>
      <c r="M21" s="154">
        <f t="shared" si="2"/>
      </c>
      <c r="N21" s="155">
        <f t="shared" si="3"/>
      </c>
      <c r="O21" s="156">
        <f t="shared" si="4"/>
      </c>
      <c r="P21" s="157">
        <f>IF(N21="","",IF(N21-K21=0,"",(IF(N21-K21&gt;P!$B$7,P!$B$7,(IF((N21-K21)/H21&lt;P!$B$12,"0",IF(N21-K21&lt;P!$B$7,N21-K21)))))))</f>
      </c>
      <c r="Q21" s="155">
        <f t="shared" si="5"/>
      </c>
      <c r="R21" s="156">
        <f>IF(P21="","",ROUND(P21*P!$B$9%,2))</f>
      </c>
      <c r="S21" s="155">
        <f t="shared" si="6"/>
      </c>
      <c r="T21" s="156">
        <f>IF(P21="","",ROUND(P21*P!$B$16%,2))</f>
      </c>
      <c r="U21" s="158"/>
      <c r="V21" s="156">
        <f>IF(N21="","",IF(P!$G$13="H","",IF(P!$G$13="E",(SUM(N21-Q21-S21)))))</f>
      </c>
      <c r="W21" s="156">
        <f>IF(N21="","",IF(P!$G$13="H","",IF(P!$G$13="E",(SUM(U21+V21)))))</f>
      </c>
      <c r="X21" s="108">
        <f>IF(N21="","",KüMüLATiF!K40)</f>
      </c>
      <c r="Y21" s="159">
        <f>IF(OR(D21="",E21="",N21=""),"",IF(E21="İndirimsiz","",(INDEX(MH!$D$4:$E$14,MATCH(F21,MH!$B$4:$B$14,0),MATCH(E21,MH!$D$3:$E$3,0)))))</f>
      </c>
      <c r="Z21" s="160">
        <f>IF(OR(N21="",P!$G$13="H"),"",IF(Y21="",X21,IF(Y21&gt;X21,"",X21-Y21)))</f>
      </c>
      <c r="AA21" s="155">
        <f>IF(N21="","",IF(P!$G$14="H","",IF(P!$G$14="E",ROUND(N21*GVT!$A$19,2))))</f>
      </c>
      <c r="AB21" s="155">
        <f t="shared" si="7"/>
      </c>
      <c r="AC21" s="155">
        <f t="shared" si="0"/>
      </c>
      <c r="AD21" s="161"/>
      <c r="AE21" s="190">
        <v>10</v>
      </c>
      <c r="AH21" s="92">
        <f>P!$B$12</f>
        <v>119.25</v>
      </c>
    </row>
    <row r="22" spans="1:34" ht="12">
      <c r="A22" s="150">
        <v>31</v>
      </c>
      <c r="B22" s="123"/>
      <c r="C22" s="151"/>
      <c r="D22" s="152"/>
      <c r="E22" s="186" t="s">
        <v>39</v>
      </c>
      <c r="F22" s="188" t="s">
        <v>61</v>
      </c>
      <c r="G22" s="131"/>
      <c r="H22" s="131"/>
      <c r="I22" s="201"/>
      <c r="J22" s="174"/>
      <c r="K22" s="174"/>
      <c r="L22" s="164">
        <f>IF((D22*G22)=0,"",D22*G22)</f>
      </c>
      <c r="M22" s="154">
        <f>IF(OR(D22="",G22="",I22=""),"",((D22/7.5)*1.5)*I22)</f>
      </c>
      <c r="N22" s="155">
        <f>IF(SUM(J22:M22)=0,"",SUM(J22:M22))</f>
      </c>
      <c r="O22" s="156">
        <f>IF(N22="","",IF(L22="",N22,(N22+R22+T22)))</f>
      </c>
      <c r="P22" s="157">
        <f>IF(N22="","",IF(N22-K22=0,"",(IF(N22-K22&gt;P!$B$7,P!$B$7,(IF((N22-K22)/H22&lt;P!$B$12,"0",IF(N22-K22&lt;P!$B$7,N22-K22)))))))</f>
      </c>
      <c r="Q22" s="155">
        <f>IF(P22="","",ROUND(P22*14%,2))</f>
      </c>
      <c r="R22" s="156">
        <f>IF(P22="","",ROUND(P22*P!$B$9%,2))</f>
      </c>
      <c r="S22" s="155">
        <f>IF(P22="","",ROUND(P22*1%,2))</f>
      </c>
      <c r="T22" s="156">
        <f>IF(P22="","",ROUND(P22*P!$B$16%,2))</f>
      </c>
      <c r="U22" s="175"/>
      <c r="V22" s="156">
        <f>IF(N22="","",IF(P!$G$13="H","",IF(P!$G$13="E",(SUM(N22-Q22-S22)))))</f>
      </c>
      <c r="W22" s="156">
        <f>IF(N22="","",IF(P!$G$13="H","",IF(P!$G$13="E",(SUM(U22+V22)))))</f>
      </c>
      <c r="X22" s="156">
        <f>IF(N22="","",KüMüLATiF!K41)</f>
      </c>
      <c r="Y22" s="176">
        <f>IF(OR(D22="",E22="",N22=""),"",IF(E22="İndirimsiz","",(INDEX(MH!$D$4:$E$14,MATCH(F22,MH!$B$4:$B$14,0),MATCH(E22,MH!$D$3:$E$3,0)))))</f>
      </c>
      <c r="Z22" s="160">
        <f>IF(OR(N22="",P!$G$13="H"),"",IF(Y22="",X22,IF(Y22&gt;X22,"",X22-Y22)))</f>
      </c>
      <c r="AA22" s="155">
        <f>IF(N22="","",IF(P!$G$14="H","",IF(P!$G$14="E",ROUND(N22*GVT!$A$19,2))))</f>
      </c>
      <c r="AB22" s="155">
        <f>IF(SUM(Q22,S22,Z22,AA22)=0,"",SUM(Q22,S22,Z22,AA22))</f>
      </c>
      <c r="AC22" s="155">
        <f t="shared" si="0"/>
      </c>
      <c r="AD22" s="161"/>
      <c r="AE22" s="190">
        <v>11</v>
      </c>
      <c r="AH22" s="92">
        <f>P!$B$12</f>
        <v>119.25</v>
      </c>
    </row>
    <row r="23" spans="1:34" ht="12">
      <c r="A23" s="150">
        <v>32</v>
      </c>
      <c r="B23" s="123"/>
      <c r="C23" s="162"/>
      <c r="D23" s="152"/>
      <c r="E23" s="186" t="s">
        <v>38</v>
      </c>
      <c r="F23" s="188">
        <v>1</v>
      </c>
      <c r="G23" s="131"/>
      <c r="H23" s="131"/>
      <c r="I23" s="202"/>
      <c r="J23" s="163"/>
      <c r="K23" s="163"/>
      <c r="L23" s="164">
        <f t="shared" si="1"/>
      </c>
      <c r="M23" s="154">
        <f t="shared" si="2"/>
      </c>
      <c r="N23" s="155">
        <f t="shared" si="3"/>
      </c>
      <c r="O23" s="156">
        <f t="shared" si="4"/>
      </c>
      <c r="P23" s="157">
        <f>IF(N23="","",IF(N23-K23=0,"",(IF(N23-K23&gt;P!$B$7,P!$B$7,(IF((N23-K23)/H23&lt;P!$B$12,"0",IF(N23-K23&lt;P!$B$7,N23-K23)))))))</f>
      </c>
      <c r="Q23" s="155">
        <f t="shared" si="5"/>
      </c>
      <c r="R23" s="156">
        <f>IF(P23="","",ROUND(P23*P!$B$9%,2))</f>
      </c>
      <c r="S23" s="155">
        <f t="shared" si="6"/>
      </c>
      <c r="T23" s="156">
        <f>IF(P23="","",ROUND(P23*P!$B$16%,2))</f>
      </c>
      <c r="U23" s="158"/>
      <c r="V23" s="156">
        <f>IF(N23="","",IF(P!$G$13="H","",IF(P!$G$13="E",(SUM(N23-Q23-S23)))))</f>
      </c>
      <c r="W23" s="156">
        <f>IF(N23="","",IF(P!$G$13="H","",IF(P!$G$13="E",(SUM(U23+V23)))))</f>
      </c>
      <c r="X23" s="108">
        <f>IF(N23="","",KüMüLATiF!K42)</f>
      </c>
      <c r="Y23" s="176">
        <f>IF(OR(D23="",E23="",N23=""),"",IF(E23="İndirimsiz","",(INDEX(MH!$D$4:$E$14,MATCH(F23,MH!$B$4:$B$14,0),MATCH(E23,MH!$D$3:$E$3,0)))))</f>
      </c>
      <c r="Z23" s="160">
        <f>IF(OR(N23="",P!$G$13="H"),"",IF(Y23="",X23,IF(Y23&gt;X23,"",X23-Y23)))</f>
      </c>
      <c r="AA23" s="155">
        <f>IF(N23="","",IF(P!$G$14="H","",IF(P!$G$14="E",ROUND(N23*GVT!$A$19,2))))</f>
      </c>
      <c r="AB23" s="155">
        <f t="shared" si="7"/>
      </c>
      <c r="AC23" s="155">
        <f t="shared" si="0"/>
      </c>
      <c r="AD23" s="161"/>
      <c r="AE23" s="190">
        <v>12</v>
      </c>
      <c r="AH23" s="92">
        <f>P!$B$12</f>
        <v>119.25</v>
      </c>
    </row>
    <row r="24" spans="1:34" ht="12">
      <c r="A24" s="150">
        <v>33</v>
      </c>
      <c r="B24" s="123"/>
      <c r="C24" s="162"/>
      <c r="D24" s="152"/>
      <c r="E24" s="186" t="s">
        <v>38</v>
      </c>
      <c r="F24" s="188">
        <v>2</v>
      </c>
      <c r="G24" s="131"/>
      <c r="H24" s="131"/>
      <c r="I24" s="202"/>
      <c r="J24" s="163"/>
      <c r="K24" s="163"/>
      <c r="L24" s="164">
        <f t="shared" si="1"/>
      </c>
      <c r="M24" s="154">
        <f t="shared" si="2"/>
      </c>
      <c r="N24" s="155">
        <f t="shared" si="3"/>
      </c>
      <c r="O24" s="156">
        <f t="shared" si="4"/>
      </c>
      <c r="P24" s="157">
        <f>IF(N24="","",IF(N24-K24=0,"",(IF(N24-K24&gt;P!$B$7,P!$B$7,(IF((N24-K24)/H24&lt;P!$B$12,"0",IF(N24-K24&lt;P!$B$7,N24-K24)))))))</f>
      </c>
      <c r="Q24" s="155">
        <f t="shared" si="5"/>
      </c>
      <c r="R24" s="156">
        <f>IF(P24="","",ROUND(P24*P!$B$9%,2))</f>
      </c>
      <c r="S24" s="155">
        <f t="shared" si="6"/>
      </c>
      <c r="T24" s="156">
        <f>IF(P24="","",ROUND(P24*P!$B$16%,2))</f>
      </c>
      <c r="U24" s="158"/>
      <c r="V24" s="156">
        <f>IF(N24="","",IF(P!$G$13="H","",IF(P!$G$13="E",(SUM(N24-Q24-S24)))))</f>
      </c>
      <c r="W24" s="156">
        <f>IF(N24="","",IF(P!$G$13="H","",IF(P!$G$13="E",(SUM(U24+V24)))))</f>
      </c>
      <c r="X24" s="108">
        <f>IF(N24="","",KüMüLATiF!K43)</f>
      </c>
      <c r="Y24" s="176">
        <f>IF(OR(D24="",E24="",N24=""),"",IF(E24="İndirimsiz","",(INDEX(MH!$D$4:$E$14,MATCH(F24,MH!$B$4:$B$14,0),MATCH(E24,MH!$D$3:$E$3,0)))))</f>
      </c>
      <c r="Z24" s="160">
        <f>IF(OR(N24="",P!$G$13="H"),"",IF(Y24="",X24,IF(Y24&gt;X24,"",X24-Y24)))</f>
      </c>
      <c r="AA24" s="155">
        <f>IF(N24="","",IF(P!$G$14="H","",IF(P!$G$14="E",ROUND(N24*GVT!$A$19,2))))</f>
      </c>
      <c r="AB24" s="155">
        <f t="shared" si="7"/>
      </c>
      <c r="AC24" s="155">
        <f t="shared" si="0"/>
      </c>
      <c r="AD24" s="161"/>
      <c r="AE24" s="190">
        <v>13</v>
      </c>
      <c r="AH24" s="92">
        <f>P!$B$12</f>
        <v>119.25</v>
      </c>
    </row>
    <row r="25" spans="1:34" ht="12">
      <c r="A25" s="150">
        <v>34</v>
      </c>
      <c r="B25" s="123"/>
      <c r="C25" s="162"/>
      <c r="D25" s="152"/>
      <c r="E25" s="186" t="s">
        <v>39</v>
      </c>
      <c r="F25" s="188">
        <v>3</v>
      </c>
      <c r="G25" s="131"/>
      <c r="H25" s="131"/>
      <c r="I25" s="202"/>
      <c r="J25" s="163"/>
      <c r="K25" s="163"/>
      <c r="L25" s="164">
        <f t="shared" si="1"/>
      </c>
      <c r="M25" s="154">
        <f t="shared" si="2"/>
      </c>
      <c r="N25" s="155">
        <f t="shared" si="3"/>
      </c>
      <c r="O25" s="156">
        <f t="shared" si="4"/>
      </c>
      <c r="P25" s="157">
        <f>IF(N25="","",IF(N25-K25=0,"",(IF(N25-K25&gt;P!$B$7,P!$B$7,(IF((N25-K25)/H25&lt;P!$B$12,"0",IF(N25-K25&lt;P!$B$7,N25-K25)))))))</f>
      </c>
      <c r="Q25" s="155">
        <f t="shared" si="5"/>
      </c>
      <c r="R25" s="156">
        <f>IF(P25="","",ROUND(P25*P!$B$9%,2))</f>
      </c>
      <c r="S25" s="155">
        <f t="shared" si="6"/>
      </c>
      <c r="T25" s="156">
        <f>IF(P25="","",ROUND(P25*P!$B$16%,2))</f>
      </c>
      <c r="U25" s="158"/>
      <c r="V25" s="156">
        <f>IF(N25="","",IF(P!$G$13="H","",IF(P!$G$13="E",(SUM(N25-Q25-S25)))))</f>
      </c>
      <c r="W25" s="156">
        <f>IF(N25="","",IF(P!$G$13="H","",IF(P!$G$13="E",(SUM(U25+V25)))))</f>
      </c>
      <c r="X25" s="108">
        <f>IF(N25="","",KüMüLATiF!K44)</f>
      </c>
      <c r="Y25" s="159">
        <f>IF(OR(D25="",E25="",N25=""),"",IF(E25="İndirimsiz","",(INDEX(MH!$D$4:$E$14,MATCH(F25,MH!$B$4:$B$14,0),MATCH(E25,MH!$D$3:$E$3,0)))))</f>
      </c>
      <c r="Z25" s="160">
        <f>IF(OR(N25="",P!$G$13="H"),"",IF(Y25="",X25,IF(Y25&gt;X25,"",X25-Y25)))</f>
      </c>
      <c r="AA25" s="155">
        <f>IF(N25="","",IF(P!$G$14="H","",IF(P!$G$14="E",ROUND(N25*GVT!$A$19,2))))</f>
      </c>
      <c r="AB25" s="155">
        <f t="shared" si="7"/>
      </c>
      <c r="AC25" s="155">
        <f t="shared" si="0"/>
      </c>
      <c r="AD25" s="161"/>
      <c r="AE25" s="190">
        <v>14</v>
      </c>
      <c r="AH25" s="92">
        <f>P!$B$12</f>
        <v>119.25</v>
      </c>
    </row>
    <row r="26" spans="1:34" ht="12">
      <c r="A26" s="150">
        <v>35</v>
      </c>
      <c r="B26" s="123"/>
      <c r="C26" s="162"/>
      <c r="D26" s="152"/>
      <c r="E26" s="186" t="s">
        <v>38</v>
      </c>
      <c r="F26" s="188">
        <v>4</v>
      </c>
      <c r="G26" s="131"/>
      <c r="H26" s="131"/>
      <c r="I26" s="202"/>
      <c r="J26" s="163"/>
      <c r="K26" s="163"/>
      <c r="L26" s="164">
        <f t="shared" si="1"/>
      </c>
      <c r="M26" s="154">
        <f t="shared" si="2"/>
      </c>
      <c r="N26" s="155">
        <f t="shared" si="3"/>
      </c>
      <c r="O26" s="156">
        <f t="shared" si="4"/>
      </c>
      <c r="P26" s="157">
        <f>IF(N26="","",IF(N26-K26=0,"",(IF(N26-K26&gt;P!$B$7,P!$B$7,(IF((N26-K26)/H26&lt;P!$B$12,"0",IF(N26-K26&lt;P!$B$7,N26-K26)))))))</f>
      </c>
      <c r="Q26" s="155">
        <f t="shared" si="5"/>
      </c>
      <c r="R26" s="156">
        <f>IF(P26="","",ROUND(P26*P!$B$9%,2))</f>
      </c>
      <c r="S26" s="155">
        <f t="shared" si="6"/>
      </c>
      <c r="T26" s="156">
        <f>IF(P26="","",ROUND(P26*P!$B$16%,2))</f>
      </c>
      <c r="U26" s="158"/>
      <c r="V26" s="156">
        <f>IF(N26="","",IF(P!$G$13="H","",IF(P!$G$13="E",(SUM(N26-Q26-S26)))))</f>
      </c>
      <c r="W26" s="156">
        <f>IF(N26="","",IF(P!$G$13="H","",IF(P!$G$13="E",(SUM(U26+V26)))))</f>
      </c>
      <c r="X26" s="108">
        <f>IF(N26="","",KüMüLATiF!K45)</f>
      </c>
      <c r="Y26" s="159">
        <f>IF(OR(D26="",E26="",N26=""),"",IF(E26="İndirimsiz","",(INDEX(MH!$D$4:$E$14,MATCH(F26,MH!$B$4:$B$14,0),MATCH(E26,MH!$D$3:$E$3,0)))))</f>
      </c>
      <c r="Z26" s="160">
        <f>IF(OR(N26="",P!$G$13="H"),"",IF(Y26="",X26,IF(Y26&gt;X26,"",X26-Y26)))</f>
      </c>
      <c r="AA26" s="155">
        <f>IF(N26="","",IF(P!$G$14="H","",IF(P!$G$14="E",ROUND(N26*GVT!$A$19,2))))</f>
      </c>
      <c r="AB26" s="155">
        <f t="shared" si="7"/>
      </c>
      <c r="AC26" s="155">
        <f t="shared" si="0"/>
      </c>
      <c r="AD26" s="161"/>
      <c r="AE26" s="190">
        <v>15</v>
      </c>
      <c r="AH26" s="92">
        <f>P!$B$12</f>
        <v>119.25</v>
      </c>
    </row>
    <row r="27" spans="1:34" ht="12">
      <c r="A27" s="150">
        <v>36</v>
      </c>
      <c r="B27" s="123"/>
      <c r="C27" s="162"/>
      <c r="D27" s="152"/>
      <c r="E27" s="186" t="s">
        <v>39</v>
      </c>
      <c r="F27" s="188" t="s">
        <v>61</v>
      </c>
      <c r="G27" s="131"/>
      <c r="H27" s="131"/>
      <c r="I27" s="202"/>
      <c r="J27" s="163"/>
      <c r="K27" s="163"/>
      <c r="L27" s="164">
        <f t="shared" si="1"/>
      </c>
      <c r="M27" s="154">
        <f t="shared" si="2"/>
      </c>
      <c r="N27" s="155">
        <f t="shared" si="3"/>
      </c>
      <c r="O27" s="156">
        <f t="shared" si="4"/>
      </c>
      <c r="P27" s="157">
        <f>IF(N27="","",IF(N27-K27=0,"",(IF(N27-K27&gt;P!$B$7,P!$B$7,(IF((N27-K27)/H27&lt;P!$B$12,"0",IF(N27-K27&lt;P!$B$7,N27-K27)))))))</f>
      </c>
      <c r="Q27" s="155">
        <f t="shared" si="5"/>
      </c>
      <c r="R27" s="156">
        <f>IF(P27="","",ROUND(P27*P!$B$9%,2))</f>
      </c>
      <c r="S27" s="155">
        <f t="shared" si="6"/>
      </c>
      <c r="T27" s="156">
        <f>IF(P27="","",ROUND(P27*P!$B$16%,2))</f>
      </c>
      <c r="U27" s="158"/>
      <c r="V27" s="156">
        <f>IF(N27="","",IF(P!$G$13="H","",IF(P!$G$13="E",(SUM(N27-Q27-S27)))))</f>
      </c>
      <c r="W27" s="156">
        <f>IF(N27="","",IF(P!$G$13="H","",IF(P!$G$13="E",(SUM(U27+V27)))))</f>
      </c>
      <c r="X27" s="108">
        <f>IF(N27="","",KüMüLATiF!K46)</f>
      </c>
      <c r="Y27" s="159">
        <f>IF(OR(D27="",E27="",N27=""),"",IF(E27="İndirimsiz","",(INDEX(MH!$D$4:$E$14,MATCH(F27,MH!$B$4:$B$14,0),MATCH(E27,MH!$D$3:$E$3,0)))))</f>
      </c>
      <c r="Z27" s="160">
        <f>IF(OR(N27="",P!$G$13="H"),"",IF(Y27="",X27,IF(Y27&gt;X27,"",X27-Y27)))</f>
      </c>
      <c r="AA27" s="155">
        <f>IF(N27="","",IF(P!$G$14="H","",IF(P!$G$14="E",ROUND(N27*GVT!$A$19,2))))</f>
      </c>
      <c r="AB27" s="155">
        <f t="shared" si="7"/>
      </c>
      <c r="AC27" s="155">
        <f t="shared" si="0"/>
      </c>
      <c r="AD27" s="161"/>
      <c r="AE27" s="190">
        <v>16</v>
      </c>
      <c r="AH27" s="92">
        <f>P!$B$12</f>
        <v>119.25</v>
      </c>
    </row>
    <row r="28" spans="1:34" ht="12">
      <c r="A28" s="150">
        <v>37</v>
      </c>
      <c r="B28" s="123"/>
      <c r="C28" s="162"/>
      <c r="D28" s="152"/>
      <c r="E28" s="186" t="s">
        <v>38</v>
      </c>
      <c r="F28" s="188">
        <v>1</v>
      </c>
      <c r="G28" s="131"/>
      <c r="H28" s="131"/>
      <c r="I28" s="202"/>
      <c r="J28" s="163"/>
      <c r="K28" s="163"/>
      <c r="L28" s="164">
        <f t="shared" si="1"/>
      </c>
      <c r="M28" s="154">
        <f t="shared" si="2"/>
      </c>
      <c r="N28" s="155">
        <f t="shared" si="3"/>
      </c>
      <c r="O28" s="156">
        <f t="shared" si="4"/>
      </c>
      <c r="P28" s="157">
        <f>IF(N28="","",IF(N28-K28=0,"",(IF(N28-K28&gt;P!$B$7,P!$B$7,(IF((N28-K28)/H28&lt;P!$B$12,"0",IF(N28-K28&lt;P!$B$7,N28-K28)))))))</f>
      </c>
      <c r="Q28" s="155">
        <f t="shared" si="5"/>
      </c>
      <c r="R28" s="156">
        <f>IF(P28="","",ROUND(P28*P!$B$9%,2))</f>
      </c>
      <c r="S28" s="155">
        <f t="shared" si="6"/>
      </c>
      <c r="T28" s="156">
        <f>IF(P28="","",ROUND(P28*P!$B$16%,2))</f>
      </c>
      <c r="U28" s="158"/>
      <c r="V28" s="156">
        <f>IF(N28="","",IF(P!$G$13="H","",IF(P!$G$13="E",(SUM(N28-Q28-S28)))))</f>
      </c>
      <c r="W28" s="156">
        <f>IF(N28="","",IF(P!$G$13="H","",IF(P!$G$13="E",(SUM(U28+V28)))))</f>
      </c>
      <c r="X28" s="108">
        <f>IF(N28="","",KüMüLATiF!K47)</f>
      </c>
      <c r="Y28" s="159">
        <f>IF(OR(D28="",E28="",N28=""),"",IF(E28="İndirimsiz","",(INDEX(MH!$D$4:$E$14,MATCH(F28,MH!$B$4:$B$14,0),MATCH(E28,MH!$D$3:$E$3,0)))))</f>
      </c>
      <c r="Z28" s="160">
        <f>IF(OR(N28="",P!$G$13="H"),"",IF(Y28="",X28,IF(Y28&gt;X28,"",X28-Y28)))</f>
      </c>
      <c r="AA28" s="155">
        <f>IF(N28="","",IF(P!$G$14="H","",IF(P!$G$14="E",ROUND(N28*GVT!$A$19,2))))</f>
      </c>
      <c r="AB28" s="155">
        <f t="shared" si="7"/>
      </c>
      <c r="AC28" s="155">
        <f t="shared" si="0"/>
      </c>
      <c r="AD28" s="161"/>
      <c r="AE28" s="190">
        <v>17</v>
      </c>
      <c r="AH28" s="92">
        <f>P!$B$12</f>
        <v>119.25</v>
      </c>
    </row>
    <row r="29" spans="1:34" ht="12">
      <c r="A29" s="150">
        <v>38</v>
      </c>
      <c r="B29" s="123"/>
      <c r="C29" s="162"/>
      <c r="D29" s="152"/>
      <c r="E29" s="186" t="s">
        <v>39</v>
      </c>
      <c r="F29" s="188">
        <v>2</v>
      </c>
      <c r="G29" s="131"/>
      <c r="H29" s="131"/>
      <c r="I29" s="202"/>
      <c r="J29" s="163"/>
      <c r="K29" s="163"/>
      <c r="L29" s="164">
        <f t="shared" si="1"/>
      </c>
      <c r="M29" s="154">
        <f t="shared" si="2"/>
      </c>
      <c r="N29" s="155">
        <f t="shared" si="3"/>
      </c>
      <c r="O29" s="156">
        <f t="shared" si="4"/>
      </c>
      <c r="P29" s="157">
        <f>IF(N29="","",IF(N29-K29=0,"",(IF(N29-K29&gt;P!$B$7,P!$B$7,(IF((N29-K29)/H29&lt;P!$B$12,"0",IF(N29-K29&lt;P!$B$7,N29-K29)))))))</f>
      </c>
      <c r="Q29" s="155">
        <f t="shared" si="5"/>
      </c>
      <c r="R29" s="156">
        <f>IF(P29="","",ROUND(P29*P!$B$9%,2))</f>
      </c>
      <c r="S29" s="155">
        <f t="shared" si="6"/>
      </c>
      <c r="T29" s="156">
        <f>IF(P29="","",ROUND(P29*P!$B$16%,2))</f>
      </c>
      <c r="U29" s="158"/>
      <c r="V29" s="156">
        <f>IF(N29="","",IF(P!$G$13="H","",IF(P!$G$13="E",(SUM(N29-Q29-S29)))))</f>
      </c>
      <c r="W29" s="156">
        <f>IF(N29="","",IF(P!$G$13="H","",IF(P!$G$13="E",(SUM(U29+V29)))))</f>
      </c>
      <c r="X29" s="108">
        <f>IF(N29="","",KüMüLATiF!K48)</f>
      </c>
      <c r="Y29" s="159">
        <f>IF(OR(D29="",E29="",N29=""),"",IF(E29="İndirimsiz","",(INDEX(MH!$D$4:$E$14,MATCH(F29,MH!$B$4:$B$14,0),MATCH(E29,MH!$D$3:$E$3,0)))))</f>
      </c>
      <c r="Z29" s="160">
        <f>IF(OR(N29="",P!$G$13="H"),"",IF(Y29="",X29,IF(Y29&gt;X29,"",X29-Y29)))</f>
      </c>
      <c r="AA29" s="155">
        <f>IF(N29="","",IF(P!$G$14="H","",IF(P!$G$14="E",ROUND(N29*GVT!$A$19,2))))</f>
      </c>
      <c r="AB29" s="155">
        <f t="shared" si="7"/>
      </c>
      <c r="AC29" s="155">
        <f t="shared" si="0"/>
      </c>
      <c r="AD29" s="161"/>
      <c r="AE29" s="190">
        <v>18</v>
      </c>
      <c r="AH29" s="92">
        <f>P!$B$12</f>
        <v>119.25</v>
      </c>
    </row>
    <row r="30" spans="1:34" ht="12">
      <c r="A30" s="150">
        <v>39</v>
      </c>
      <c r="B30" s="123"/>
      <c r="C30" s="162"/>
      <c r="D30" s="152"/>
      <c r="E30" s="186" t="s">
        <v>39</v>
      </c>
      <c r="F30" s="188">
        <v>3</v>
      </c>
      <c r="G30" s="131"/>
      <c r="H30" s="131"/>
      <c r="I30" s="202"/>
      <c r="J30" s="163"/>
      <c r="K30" s="163"/>
      <c r="L30" s="164">
        <f t="shared" si="1"/>
      </c>
      <c r="M30" s="154">
        <f t="shared" si="2"/>
      </c>
      <c r="N30" s="155">
        <f t="shared" si="3"/>
      </c>
      <c r="O30" s="156">
        <f t="shared" si="4"/>
      </c>
      <c r="P30" s="157">
        <f>IF(N30="","",IF(N30-K30=0,"",(IF(N30-K30&gt;P!$B$7,P!$B$7,(IF((N30-K30)/H30&lt;P!$B$12,"0",IF(N30-K30&lt;P!$B$7,N30-K30)))))))</f>
      </c>
      <c r="Q30" s="155">
        <f t="shared" si="5"/>
      </c>
      <c r="R30" s="156">
        <f>IF(P30="","",ROUND(P30*P!$B$9%,2))</f>
      </c>
      <c r="S30" s="155">
        <f t="shared" si="6"/>
      </c>
      <c r="T30" s="156">
        <f>IF(P30="","",ROUND(P30*P!$B$16%,2))</f>
      </c>
      <c r="U30" s="158"/>
      <c r="V30" s="156">
        <f>IF(N30="","",IF(P!$G$13="H","",IF(P!$G$13="E",(SUM(N30-Q30-S30)))))</f>
      </c>
      <c r="W30" s="156">
        <f>IF(N30="","",IF(P!$G$13="H","",IF(P!$G$13="E",(SUM(U30+V30)))))</f>
      </c>
      <c r="X30" s="108">
        <f>IF(N30="","",KüMüLATiF!K49)</f>
      </c>
      <c r="Y30" s="159">
        <f>IF(OR(D30="",E30="",N30=""),"",IF(E30="İndirimsiz","",(INDEX(MH!$D$4:$E$14,MATCH(F30,MH!$B$4:$B$14,0),MATCH(E30,MH!$D$3:$E$3,0)))))</f>
      </c>
      <c r="Z30" s="160">
        <f>IF(OR(N30="",P!$G$13="H"),"",IF(Y30="",X30,IF(Y30&gt;X30,"",X30-Y30)))</f>
      </c>
      <c r="AA30" s="155">
        <f>IF(N30="","",IF(P!$G$14="H","",IF(P!$G$14="E",ROUND(N30*GVT!$A$19,2))))</f>
      </c>
      <c r="AB30" s="155">
        <f t="shared" si="7"/>
      </c>
      <c r="AC30" s="155">
        <f t="shared" si="0"/>
      </c>
      <c r="AD30" s="161"/>
      <c r="AE30" s="190">
        <v>19</v>
      </c>
      <c r="AH30" s="92">
        <f>P!$B$12</f>
        <v>119.25</v>
      </c>
    </row>
    <row r="31" spans="1:34" ht="12">
      <c r="A31" s="150">
        <v>40</v>
      </c>
      <c r="B31" s="123"/>
      <c r="C31" s="151"/>
      <c r="D31" s="152"/>
      <c r="E31" s="186" t="s">
        <v>39</v>
      </c>
      <c r="F31" s="188">
        <v>4</v>
      </c>
      <c r="G31" s="131"/>
      <c r="H31" s="131"/>
      <c r="I31" s="202"/>
      <c r="J31" s="163"/>
      <c r="K31" s="163"/>
      <c r="L31" s="164">
        <f t="shared" si="1"/>
      </c>
      <c r="M31" s="154">
        <f t="shared" si="2"/>
      </c>
      <c r="N31" s="155">
        <f t="shared" si="3"/>
      </c>
      <c r="O31" s="156">
        <f t="shared" si="4"/>
      </c>
      <c r="P31" s="157">
        <f>IF(N31="","",IF(N31-K31=0,"",(IF(N31-K31&gt;P!$B$7,P!$B$7,(IF((N31-K31)/H31&lt;P!$B$12,"0",IF(N31-K31&lt;P!$B$7,N31-K31)))))))</f>
      </c>
      <c r="Q31" s="155">
        <f t="shared" si="5"/>
      </c>
      <c r="R31" s="156">
        <f>IF(P31="","",ROUND(P31*P!$B$9%,2))</f>
      </c>
      <c r="S31" s="155">
        <f t="shared" si="6"/>
      </c>
      <c r="T31" s="156">
        <f>IF(P31="","",ROUND(P31*P!$B$16%,2))</f>
      </c>
      <c r="U31" s="158"/>
      <c r="V31" s="156">
        <f>IF(N31="","",IF(P!$G$13="H","",IF(P!$G$13="E",(SUM(N31-Q31-S31)))))</f>
      </c>
      <c r="W31" s="156">
        <f>IF(N31="","",IF(P!$G$13="H","",IF(P!$G$13="E",(SUM(U31+V31)))))</f>
      </c>
      <c r="X31" s="108">
        <f>IF(N31="","",KüMüLATiF!K50)</f>
      </c>
      <c r="Y31" s="159">
        <f>IF(OR(D31="",E31="",N31=""),"",IF(E31="İndirimsiz","",(INDEX(MH!$D$4:$E$14,MATCH(F31,MH!$B$4:$B$14,0),MATCH(E31,MH!$D$3:$E$3,0)))))</f>
      </c>
      <c r="Z31" s="160">
        <f>IF(OR(N31="",P!$G$13="H"),"",IF(Y31="",X31,IF(Y31&gt;X31,"",X31-Y31)))</f>
      </c>
      <c r="AA31" s="155">
        <f>IF(N31="","",IF(P!$G$14="H","",IF(P!$G$14="E",ROUND(N31*GVT!$A$19,2))))</f>
      </c>
      <c r="AB31" s="155">
        <f t="shared" si="7"/>
      </c>
      <c r="AC31" s="155">
        <f t="shared" si="0"/>
      </c>
      <c r="AD31" s="161"/>
      <c r="AE31" s="190">
        <v>20</v>
      </c>
      <c r="AF31" s="195"/>
      <c r="AH31" s="92">
        <f>P!$B$12</f>
        <v>119.25</v>
      </c>
    </row>
    <row r="32" spans="1:34" s="19" customFormat="1" ht="12.75" customHeight="1">
      <c r="A32" s="165"/>
      <c r="B32" s="166"/>
      <c r="C32" s="167"/>
      <c r="D32" s="264"/>
      <c r="E32" s="264"/>
      <c r="F32" s="264"/>
      <c r="G32" s="168">
        <f>IF(SUM(G11:G31)=0,"",SUM(G11:G31))</f>
        <v>150</v>
      </c>
      <c r="H32" s="168">
        <f>IF(SUM(H11:H31)=0,"",SUM(H11:H31))</f>
        <v>150</v>
      </c>
      <c r="I32" s="169"/>
      <c r="J32" s="170">
        <f>IF(SUM(J11:J17)=0,"",SUM(J11:J17))</f>
      </c>
      <c r="K32" s="170">
        <f>IF(SUM(K11:K17)=0,"",SUM(K11:K17))</f>
      </c>
      <c r="L32" s="171">
        <f aca="true" t="shared" si="8" ref="L32:T32">IF(SUM(L11:L31)=0,"",SUM(L11:L31))</f>
        <v>3577.5</v>
      </c>
      <c r="M32" s="154">
        <f t="shared" si="8"/>
      </c>
      <c r="N32" s="155">
        <f t="shared" si="8"/>
        <v>3577.5</v>
      </c>
      <c r="O32" s="156">
        <f t="shared" si="8"/>
        <v>4400.33</v>
      </c>
      <c r="P32" s="156">
        <f t="shared" si="8"/>
        <v>3577.5</v>
      </c>
      <c r="Q32" s="155">
        <f t="shared" si="8"/>
        <v>500.85</v>
      </c>
      <c r="R32" s="156">
        <f t="shared" si="8"/>
        <v>751.28</v>
      </c>
      <c r="S32" s="155">
        <f t="shared" si="8"/>
        <v>35.78</v>
      </c>
      <c r="T32" s="156">
        <f t="shared" si="8"/>
        <v>71.55</v>
      </c>
      <c r="U32" s="172"/>
      <c r="V32" s="172"/>
      <c r="W32" s="172"/>
      <c r="X32" s="160">
        <f aca="true" t="shared" si="9" ref="X32:AC32">IF(SUM(X11:X31)=0,"",SUM(X11:X31))</f>
        <v>456.1305</v>
      </c>
      <c r="Y32" s="173">
        <f t="shared" si="9"/>
        <v>268.3125</v>
      </c>
      <c r="Z32" s="160">
        <f t="shared" si="9"/>
        <v>187.81799999999998</v>
      </c>
      <c r="AA32" s="171">
        <f t="shared" si="9"/>
        <v>27.15</v>
      </c>
      <c r="AB32" s="155">
        <f t="shared" si="9"/>
        <v>751.598</v>
      </c>
      <c r="AC32" s="155">
        <f t="shared" si="9"/>
        <v>2825.902</v>
      </c>
      <c r="AD32" s="165"/>
      <c r="AE32" s="190">
        <v>21</v>
      </c>
      <c r="AF32" s="195"/>
      <c r="AH32" s="16"/>
    </row>
    <row r="33" spans="1:34" s="19" customFormat="1" ht="12.75" customHeight="1">
      <c r="A33" s="165"/>
      <c r="B33" s="166"/>
      <c r="C33" s="167"/>
      <c r="D33" s="177"/>
      <c r="E33" s="177"/>
      <c r="F33" s="177"/>
      <c r="G33" s="167"/>
      <c r="H33" s="167"/>
      <c r="I33" s="169"/>
      <c r="J33" s="178"/>
      <c r="K33" s="178"/>
      <c r="L33" s="179"/>
      <c r="M33" s="180"/>
      <c r="N33" s="181"/>
      <c r="O33" s="172"/>
      <c r="P33" s="172"/>
      <c r="Q33" s="181"/>
      <c r="R33" s="172"/>
      <c r="S33" s="181"/>
      <c r="T33" s="172"/>
      <c r="U33" s="172"/>
      <c r="V33" s="172"/>
      <c r="W33" s="172"/>
      <c r="X33" s="182"/>
      <c r="Y33" s="91"/>
      <c r="Z33" s="182"/>
      <c r="AA33" s="179"/>
      <c r="AB33" s="181"/>
      <c r="AC33" s="181"/>
      <c r="AD33" s="165"/>
      <c r="AE33" s="190">
        <v>22</v>
      </c>
      <c r="AF33" s="195"/>
      <c r="AH33" s="16"/>
    </row>
    <row r="34" spans="1:34" s="19" customFormat="1" ht="12.75" customHeight="1">
      <c r="A34" s="165"/>
      <c r="B34" s="166"/>
      <c r="C34" s="167"/>
      <c r="D34" s="177"/>
      <c r="E34" s="177"/>
      <c r="F34" s="177"/>
      <c r="G34" s="167"/>
      <c r="H34" s="167"/>
      <c r="I34" s="169"/>
      <c r="J34" s="178"/>
      <c r="K34" s="178"/>
      <c r="L34" s="179"/>
      <c r="M34" s="180"/>
      <c r="N34" s="181"/>
      <c r="O34" s="172"/>
      <c r="P34" s="172"/>
      <c r="Q34" s="181"/>
      <c r="R34" s="172"/>
      <c r="S34" s="181"/>
      <c r="T34" s="172"/>
      <c r="U34" s="172"/>
      <c r="V34" s="172"/>
      <c r="W34" s="172"/>
      <c r="X34" s="182"/>
      <c r="Y34" s="91"/>
      <c r="Z34" s="182"/>
      <c r="AA34" s="179"/>
      <c r="AB34" s="181"/>
      <c r="AC34" s="181"/>
      <c r="AD34" s="165"/>
      <c r="AE34" s="190">
        <v>23</v>
      </c>
      <c r="AF34" s="195"/>
      <c r="AH34" s="16"/>
    </row>
    <row r="35" ht="12">
      <c r="AE35" s="190">
        <v>24</v>
      </c>
    </row>
    <row r="36" spans="31:32" ht="12">
      <c r="AE36" s="197" t="s">
        <v>116</v>
      </c>
      <c r="AF36" s="196"/>
    </row>
    <row r="37" ht="12">
      <c r="AE37" s="190">
        <v>26</v>
      </c>
    </row>
    <row r="38" ht="12">
      <c r="AE38" s="190">
        <v>27</v>
      </c>
    </row>
    <row r="39" ht="12">
      <c r="AE39" s="190">
        <v>28</v>
      </c>
    </row>
    <row r="40" ht="12">
      <c r="AE40" s="190">
        <v>29</v>
      </c>
    </row>
    <row r="41" ht="12">
      <c r="AE41" s="190">
        <v>30</v>
      </c>
    </row>
    <row r="42" ht="12">
      <c r="AE42" s="190"/>
    </row>
    <row r="43" ht="12">
      <c r="AE43" s="190"/>
    </row>
    <row r="44" ht="12">
      <c r="AE44" s="190"/>
    </row>
    <row r="45" ht="12">
      <c r="AE45" s="190"/>
    </row>
    <row r="46" ht="12">
      <c r="AE46" s="190"/>
    </row>
    <row r="47" ht="12">
      <c r="AE47" s="190"/>
    </row>
  </sheetData>
  <sheetProtection selectLockedCells="1"/>
  <mergeCells count="49">
    <mergeCell ref="D32:F32"/>
    <mergeCell ref="A11:F11"/>
    <mergeCell ref="B7:B10"/>
    <mergeCell ref="C7:C10"/>
    <mergeCell ref="D7:D10"/>
    <mergeCell ref="O6:O10"/>
    <mergeCell ref="N7:N10"/>
    <mergeCell ref="I7:I10"/>
    <mergeCell ref="J7:J10"/>
    <mergeCell ref="P6:AB6"/>
    <mergeCell ref="A6:A10"/>
    <mergeCell ref="B6:F6"/>
    <mergeCell ref="AA8:AA10"/>
    <mergeCell ref="P7:T7"/>
    <mergeCell ref="S8:S10"/>
    <mergeCell ref="T8:T10"/>
    <mergeCell ref="K7:K10"/>
    <mergeCell ref="L7:L10"/>
    <mergeCell ref="M7:M10"/>
    <mergeCell ref="AC6:AC10"/>
    <mergeCell ref="AD6:AD10"/>
    <mergeCell ref="AB7:AB10"/>
    <mergeCell ref="P8:P10"/>
    <mergeCell ref="Q8:Q10"/>
    <mergeCell ref="R8:R10"/>
    <mergeCell ref="Y8:Y10"/>
    <mergeCell ref="Z8:Z10"/>
    <mergeCell ref="X8:X10"/>
    <mergeCell ref="U7:AA7"/>
    <mergeCell ref="A4:C4"/>
    <mergeCell ref="D4:N4"/>
    <mergeCell ref="A5:C5"/>
    <mergeCell ref="D5:I5"/>
    <mergeCell ref="L6:N6"/>
    <mergeCell ref="H7:H10"/>
    <mergeCell ref="F7:F10"/>
    <mergeCell ref="G7:G10"/>
    <mergeCell ref="G6:I6"/>
    <mergeCell ref="J6:K6"/>
    <mergeCell ref="U8:W8"/>
    <mergeCell ref="U9:U10"/>
    <mergeCell ref="W9:W10"/>
    <mergeCell ref="V9:V10"/>
    <mergeCell ref="A1:N1"/>
    <mergeCell ref="AH1:AH3"/>
    <mergeCell ref="A2:C2"/>
    <mergeCell ref="D2:N2"/>
    <mergeCell ref="A3:C3"/>
    <mergeCell ref="D3:N3"/>
  </mergeCells>
  <dataValidations count="6">
    <dataValidation type="list" allowBlank="1" showInputMessage="1" showErrorMessage="1" sqref="E12:E31">
      <formula1>$E$8:$E$10</formula1>
    </dataValidation>
    <dataValidation allowBlank="1" showErrorMessage="1" sqref="Q1 Q5 J5:K5"/>
    <dataValidation allowBlank="1" showInputMessage="1" showErrorMessage="1" promptTitle="DİKKAT !" prompt="1) ÇALIŞMA AYINI ve,&#10;2) BU AYDA PRAMETRELERDE BİR DEĞİŞİKLİK OLUP,&#10;    OLMADIĞINI KONTROL ETTİNİZMİ ?" sqref="L5 D5:F5"/>
    <dataValidation type="decimal" operator="greaterThanOrEqual" allowBlank="1" showInputMessage="1" showErrorMessage="1" promptTitle="DİKKAT !" prompt="ASGARİ GÜNLÜK ÜCRETTEN AZ DEĞER GİRMEYİNİZ !&#10;" errorTitle="ASGARİ ÜCRETTEN AZ OLAMAZ !" error="EN AZ GÜNLÜK ASGARİ ÜCRETİ GİREBİLİRSİNİZ !" sqref="D12:D31">
      <formula1>AH12</formula1>
    </dataValidation>
    <dataValidation type="list" allowBlank="1" showInputMessage="1" showErrorMessage="1" sqref="F12:F31 AF12:AF16">
      <formula1>$AF$12:$AF$16</formula1>
    </dataValidation>
    <dataValidation type="list" allowBlank="1" showInputMessage="1" showErrorMessage="1" sqref="G12:H31 AE12:AE41">
      <formula1>$AE$12:$AE$42</formula1>
    </dataValidation>
  </dataValidations>
  <printOptions/>
  <pageMargins left="0.15" right="0.46" top="1" bottom="1" header="0.5" footer="0.5"/>
  <pageSetup fitToHeight="1" fitToWidth="1" horizontalDpi="300" verticalDpi="300" orientation="landscape" paperSize="9" scale="75" r:id="rId1"/>
  <ignoredErrors>
    <ignoredError sqref="AE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K23"/>
  <sheetViews>
    <sheetView showGridLines="0" zoomScalePageLayoutView="0" workbookViewId="0" topLeftCell="A1">
      <selection activeCell="G13" sqref="G13"/>
    </sheetView>
  </sheetViews>
  <sheetFormatPr defaultColWidth="8.875" defaultRowHeight="12.75"/>
  <cols>
    <col min="1" max="1" width="33.625" style="1" customWidth="1"/>
    <col min="2" max="2" width="14.625" style="1" customWidth="1"/>
    <col min="3" max="3" width="2.875" style="1" customWidth="1"/>
    <col min="4" max="5" width="8.875" style="1" customWidth="1"/>
    <col min="6" max="6" width="12.25390625" style="1" customWidth="1"/>
    <col min="7" max="7" width="6.25390625" style="1" customWidth="1"/>
    <col min="8" max="16384" width="8.875" style="1" customWidth="1"/>
  </cols>
  <sheetData>
    <row r="1" spans="1:7" ht="14.25" customHeight="1">
      <c r="A1" s="267" t="s">
        <v>22</v>
      </c>
      <c r="B1" s="268"/>
      <c r="C1" s="3"/>
      <c r="D1" s="3"/>
      <c r="E1" s="3"/>
      <c r="F1" s="3"/>
      <c r="G1" s="3"/>
    </row>
    <row r="2" spans="1:2" ht="9.75" customHeight="1">
      <c r="A2" s="269" t="s">
        <v>92</v>
      </c>
      <c r="B2" s="270"/>
    </row>
    <row r="3" spans="1:2" ht="10.5" customHeight="1">
      <c r="A3" s="271"/>
      <c r="B3" s="272"/>
    </row>
    <row r="4" spans="1:2" ht="15" customHeight="1">
      <c r="A4" s="276" t="s">
        <v>19</v>
      </c>
      <c r="B4" s="277"/>
    </row>
    <row r="5" spans="1:7" ht="15" customHeight="1">
      <c r="A5" s="78" t="s">
        <v>0</v>
      </c>
      <c r="B5" s="79">
        <v>3577.5</v>
      </c>
      <c r="D5" s="278" t="s">
        <v>64</v>
      </c>
      <c r="E5" s="279"/>
      <c r="F5" s="279"/>
      <c r="G5" s="280"/>
    </row>
    <row r="6" spans="1:7" ht="15" customHeight="1">
      <c r="A6" s="78" t="s">
        <v>108</v>
      </c>
      <c r="B6" s="79">
        <v>3577.5</v>
      </c>
      <c r="D6" s="281"/>
      <c r="E6" s="282"/>
      <c r="F6" s="282"/>
      <c r="G6" s="283"/>
    </row>
    <row r="7" spans="1:7" ht="15" customHeight="1">
      <c r="A7" s="78" t="s">
        <v>109</v>
      </c>
      <c r="B7" s="79">
        <v>26831.4</v>
      </c>
      <c r="D7" s="281"/>
      <c r="E7" s="282"/>
      <c r="F7" s="282"/>
      <c r="G7" s="283"/>
    </row>
    <row r="8" spans="1:7" ht="15" customHeight="1">
      <c r="A8" s="75"/>
      <c r="B8" s="79"/>
      <c r="D8" s="281"/>
      <c r="E8" s="282"/>
      <c r="F8" s="282"/>
      <c r="G8" s="283"/>
    </row>
    <row r="9" spans="1:7" ht="15" customHeight="1">
      <c r="A9" s="78" t="s">
        <v>107</v>
      </c>
      <c r="B9" s="79">
        <v>21</v>
      </c>
      <c r="D9" s="281"/>
      <c r="E9" s="282"/>
      <c r="F9" s="282"/>
      <c r="G9" s="283"/>
    </row>
    <row r="10" spans="1:7" ht="15" customHeight="1">
      <c r="A10" s="275" t="s">
        <v>18</v>
      </c>
      <c r="B10" s="275"/>
      <c r="D10" s="281"/>
      <c r="E10" s="282"/>
      <c r="F10" s="282"/>
      <c r="G10" s="283"/>
    </row>
    <row r="11" spans="1:7" ht="15" customHeight="1">
      <c r="A11" s="78" t="s">
        <v>110</v>
      </c>
      <c r="B11" s="4">
        <v>30</v>
      </c>
      <c r="D11" s="284"/>
      <c r="E11" s="285"/>
      <c r="F11" s="285"/>
      <c r="G11" s="286"/>
    </row>
    <row r="12" spans="1:7" ht="15" customHeight="1">
      <c r="A12" s="78" t="s">
        <v>1</v>
      </c>
      <c r="B12" s="4">
        <f>B5/30</f>
        <v>119.25</v>
      </c>
      <c r="D12" s="2"/>
      <c r="E12" s="2"/>
      <c r="F12" s="2"/>
      <c r="G12" s="2"/>
    </row>
    <row r="13" spans="1:7" ht="15" customHeight="1">
      <c r="A13" s="78" t="s">
        <v>111</v>
      </c>
      <c r="B13" s="4">
        <f>B6/30</f>
        <v>119.25</v>
      </c>
      <c r="D13" s="274" t="s">
        <v>26</v>
      </c>
      <c r="E13" s="274"/>
      <c r="F13" s="274"/>
      <c r="G13" s="47" t="s">
        <v>30</v>
      </c>
    </row>
    <row r="14" spans="1:7" ht="15" customHeight="1">
      <c r="A14" s="78" t="s">
        <v>112</v>
      </c>
      <c r="B14" s="4">
        <f>B7/30</f>
        <v>894.38</v>
      </c>
      <c r="D14" s="274" t="s">
        <v>27</v>
      </c>
      <c r="E14" s="274"/>
      <c r="F14" s="274"/>
      <c r="G14" s="47" t="s">
        <v>30</v>
      </c>
    </row>
    <row r="15" spans="1:2" ht="15" customHeight="1">
      <c r="A15" s="5"/>
      <c r="B15" s="4"/>
    </row>
    <row r="16" spans="1:2" ht="15" customHeight="1">
      <c r="A16" s="78" t="s">
        <v>23</v>
      </c>
      <c r="B16" s="80">
        <v>2</v>
      </c>
    </row>
    <row r="17" spans="1:11" s="73" customFormat="1" ht="15" customHeight="1">
      <c r="A17" s="273" t="s">
        <v>65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</row>
    <row r="18" s="73" customFormat="1" ht="15" customHeight="1">
      <c r="A18" s="81" t="s">
        <v>69</v>
      </c>
    </row>
    <row r="19" s="73" customFormat="1" ht="15" customHeight="1">
      <c r="A19" s="77" t="s">
        <v>93</v>
      </c>
    </row>
    <row r="20" s="73" customFormat="1" ht="15" customHeight="1">
      <c r="A20" s="77" t="s">
        <v>113</v>
      </c>
    </row>
    <row r="21" s="73" customFormat="1" ht="15" customHeight="1">
      <c r="A21" s="77"/>
    </row>
    <row r="23" spans="1:2" ht="12.75">
      <c r="A23" s="34"/>
      <c r="B23" s="35"/>
    </row>
  </sheetData>
  <sheetProtection password="C6FB" sheet="1" selectLockedCells="1"/>
  <mergeCells count="8">
    <mergeCell ref="A1:B1"/>
    <mergeCell ref="A2:B3"/>
    <mergeCell ref="A17:K17"/>
    <mergeCell ref="D13:F13"/>
    <mergeCell ref="D14:F14"/>
    <mergeCell ref="A10:B10"/>
    <mergeCell ref="A4:B4"/>
    <mergeCell ref="D5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K16"/>
  <sheetViews>
    <sheetView zoomScalePageLayoutView="0" workbookViewId="0" topLeftCell="A1">
      <selection activeCell="H6" sqref="H6"/>
    </sheetView>
  </sheetViews>
  <sheetFormatPr defaultColWidth="8.875" defaultRowHeight="12.75"/>
  <cols>
    <col min="1" max="1" width="3.00390625" style="36" customWidth="1"/>
    <col min="2" max="2" width="3.875" style="37" bestFit="1" customWidth="1"/>
    <col min="3" max="3" width="8.375" style="36" customWidth="1"/>
    <col min="4" max="5" width="8.25390625" style="36" customWidth="1"/>
    <col min="6" max="6" width="1.875" style="36" customWidth="1"/>
    <col min="7" max="7" width="32.00390625" style="36" bestFit="1" customWidth="1"/>
    <col min="8" max="8" width="14.25390625" style="36" customWidth="1"/>
    <col min="9" max="9" width="2.25390625" style="36" customWidth="1"/>
    <col min="10" max="16384" width="8.875" style="36" customWidth="1"/>
  </cols>
  <sheetData>
    <row r="1" spans="1:5" ht="12.75">
      <c r="A1" s="297" t="s">
        <v>47</v>
      </c>
      <c r="B1" s="298"/>
      <c r="C1" s="298"/>
      <c r="D1" s="298"/>
      <c r="E1" s="299"/>
    </row>
    <row r="2" spans="1:9" ht="12.75">
      <c r="A2" s="294" t="s">
        <v>41</v>
      </c>
      <c r="B2" s="295"/>
      <c r="C2" s="295"/>
      <c r="D2" s="295"/>
      <c r="E2" s="296"/>
      <c r="G2" s="301" t="s">
        <v>48</v>
      </c>
      <c r="H2" s="301"/>
      <c r="I2" s="66"/>
    </row>
    <row r="3" spans="1:9" ht="24">
      <c r="A3" s="67"/>
      <c r="B3" s="70"/>
      <c r="C3" s="62" t="s">
        <v>62</v>
      </c>
      <c r="D3" s="62" t="s">
        <v>38</v>
      </c>
      <c r="E3" s="62" t="s">
        <v>39</v>
      </c>
      <c r="G3" s="302" t="s">
        <v>41</v>
      </c>
      <c r="H3" s="303" t="s">
        <v>42</v>
      </c>
      <c r="I3" s="66"/>
    </row>
    <row r="4" spans="1:9" ht="14.25">
      <c r="A4" s="300" t="s">
        <v>40</v>
      </c>
      <c r="B4" s="71" t="s">
        <v>61</v>
      </c>
      <c r="C4" s="38"/>
      <c r="D4" s="49">
        <f>($H$6*12)*($H$8+$H$9)*$H$7/12</f>
        <v>321.97499999999997</v>
      </c>
      <c r="E4" s="49">
        <f>($H$6*12)*($H$8)*$H$7/12</f>
        <v>268.3125</v>
      </c>
      <c r="G4" s="302"/>
      <c r="H4" s="304"/>
      <c r="I4" s="66"/>
    </row>
    <row r="5" spans="1:9" ht="15">
      <c r="A5" s="300"/>
      <c r="B5" s="68">
        <v>1</v>
      </c>
      <c r="C5" s="38"/>
      <c r="D5" s="49">
        <f>($H$6*12)*($H$8+$H$9+($H$10*1))*$H$7/12</f>
        <v>362.22187499999995</v>
      </c>
      <c r="E5" s="49">
        <f>($H$6*12)*($H$8+($H$10*1))*$H$7/12</f>
        <v>308.55937499999993</v>
      </c>
      <c r="G5" s="302"/>
      <c r="H5" s="305"/>
      <c r="I5" s="66"/>
    </row>
    <row r="6" spans="1:11" ht="20.25">
      <c r="A6" s="300"/>
      <c r="B6" s="68">
        <v>2</v>
      </c>
      <c r="C6" s="38"/>
      <c r="D6" s="49">
        <f>($H$6*12)*($H$8+$H$9+($H$10*2))*$H$7/12</f>
        <v>402.46875</v>
      </c>
      <c r="E6" s="49">
        <f>($H$6*12)*($H$8+($H$10*2))*$H$7/12</f>
        <v>348.80625000000003</v>
      </c>
      <c r="G6" s="63" t="s">
        <v>46</v>
      </c>
      <c r="H6" s="43">
        <f>P!B5</f>
        <v>3577.5</v>
      </c>
      <c r="I6" s="76" t="s">
        <v>66</v>
      </c>
      <c r="J6" s="288" t="s">
        <v>64</v>
      </c>
      <c r="K6" s="289"/>
    </row>
    <row r="7" spans="1:11" ht="24">
      <c r="A7" s="300"/>
      <c r="B7" s="69">
        <v>3</v>
      </c>
      <c r="C7" s="39"/>
      <c r="D7" s="49">
        <f aca="true" t="shared" si="0" ref="D7:D14">($H$6*12)*($H$8+$H$9+($H$10*2)+($H$11*2))*$H$7/12</f>
        <v>456.13124999999997</v>
      </c>
      <c r="E7" s="49">
        <f>($H$6*12)*($H$8+($H$10*2)+($H$11*2))*$H$7/12</f>
        <v>402.46875</v>
      </c>
      <c r="G7" s="63" t="s">
        <v>33</v>
      </c>
      <c r="H7" s="44">
        <v>0.15</v>
      </c>
      <c r="I7" s="66"/>
      <c r="J7" s="290"/>
      <c r="K7" s="291"/>
    </row>
    <row r="8" spans="1:11" ht="18">
      <c r="A8" s="300"/>
      <c r="B8" s="69">
        <v>4</v>
      </c>
      <c r="C8" s="40"/>
      <c r="D8" s="49">
        <f t="shared" si="0"/>
        <v>456.13124999999997</v>
      </c>
      <c r="E8" s="49">
        <f>($H$6*12)*($H$8+($H$10*2)+($H$11*3))*$H$7/12</f>
        <v>429.29999999999995</v>
      </c>
      <c r="G8" s="64" t="s">
        <v>34</v>
      </c>
      <c r="H8" s="45">
        <v>0.5</v>
      </c>
      <c r="I8" s="66"/>
      <c r="J8" s="290"/>
      <c r="K8" s="291"/>
    </row>
    <row r="9" spans="1:11" ht="36">
      <c r="A9" s="300"/>
      <c r="B9" s="68">
        <v>5</v>
      </c>
      <c r="C9" s="41"/>
      <c r="D9" s="49">
        <f t="shared" si="0"/>
        <v>456.13124999999997</v>
      </c>
      <c r="E9" s="49">
        <f aca="true" t="shared" si="1" ref="E9:E14">($H$6*12)*($H$8+($H$10*2)+($H$11*4))*$H$7/12</f>
        <v>456.1312500000001</v>
      </c>
      <c r="G9" s="63" t="s">
        <v>35</v>
      </c>
      <c r="H9" s="45">
        <v>0.1</v>
      </c>
      <c r="I9" s="66"/>
      <c r="J9" s="290"/>
      <c r="K9" s="291"/>
    </row>
    <row r="10" spans="1:11" ht="24">
      <c r="A10" s="300"/>
      <c r="B10" s="68">
        <v>6</v>
      </c>
      <c r="C10" s="41"/>
      <c r="D10" s="49">
        <f t="shared" si="0"/>
        <v>456.13124999999997</v>
      </c>
      <c r="E10" s="49">
        <f t="shared" si="1"/>
        <v>456.1312500000001</v>
      </c>
      <c r="G10" s="65" t="s">
        <v>36</v>
      </c>
      <c r="H10" s="46">
        <v>0.075</v>
      </c>
      <c r="I10" s="66"/>
      <c r="J10" s="290"/>
      <c r="K10" s="291"/>
    </row>
    <row r="11" spans="1:11" ht="36">
      <c r="A11" s="300"/>
      <c r="B11" s="68">
        <v>7</v>
      </c>
      <c r="C11" s="41"/>
      <c r="D11" s="49">
        <f t="shared" si="0"/>
        <v>456.13124999999997</v>
      </c>
      <c r="E11" s="49">
        <f t="shared" si="1"/>
        <v>456.1312500000001</v>
      </c>
      <c r="G11" s="65" t="s">
        <v>37</v>
      </c>
      <c r="H11" s="45">
        <v>0.05</v>
      </c>
      <c r="I11" s="66"/>
      <c r="J11" s="292"/>
      <c r="K11" s="293"/>
    </row>
    <row r="12" spans="1:9" ht="15.75" thickBot="1">
      <c r="A12" s="300"/>
      <c r="B12" s="68">
        <v>8</v>
      </c>
      <c r="C12" s="41"/>
      <c r="D12" s="49">
        <f t="shared" si="0"/>
        <v>456.13124999999997</v>
      </c>
      <c r="E12" s="49">
        <f t="shared" si="1"/>
        <v>456.1312500000001</v>
      </c>
      <c r="G12" s="59"/>
      <c r="I12" s="66"/>
    </row>
    <row r="13" spans="1:11" ht="22.5" customHeight="1">
      <c r="A13" s="300"/>
      <c r="B13" s="68">
        <v>9</v>
      </c>
      <c r="C13" s="41"/>
      <c r="D13" s="49">
        <f t="shared" si="0"/>
        <v>456.13124999999997</v>
      </c>
      <c r="E13" s="49">
        <f t="shared" si="1"/>
        <v>456.1312500000001</v>
      </c>
      <c r="G13" s="306" t="s">
        <v>68</v>
      </c>
      <c r="H13" s="307"/>
      <c r="I13" s="307"/>
      <c r="J13" s="307"/>
      <c r="K13" s="308"/>
    </row>
    <row r="14" spans="1:11" ht="15.75" thickBot="1">
      <c r="A14" s="300"/>
      <c r="B14" s="68">
        <v>10</v>
      </c>
      <c r="C14" s="41"/>
      <c r="D14" s="49">
        <f t="shared" si="0"/>
        <v>456.13124999999997</v>
      </c>
      <c r="E14" s="49">
        <f t="shared" si="1"/>
        <v>456.1312500000001</v>
      </c>
      <c r="G14" s="309"/>
      <c r="H14" s="310"/>
      <c r="I14" s="310"/>
      <c r="J14" s="310"/>
      <c r="K14" s="311"/>
    </row>
    <row r="15" spans="7:11" ht="24" customHeight="1">
      <c r="G15" s="60"/>
      <c r="I15" s="66"/>
      <c r="J15" s="287" t="s">
        <v>114</v>
      </c>
      <c r="K15" s="287"/>
    </row>
    <row r="16" ht="12.75" customHeight="1">
      <c r="I16" s="66"/>
    </row>
  </sheetData>
  <sheetProtection password="C6FB" sheet="1"/>
  <mergeCells count="9">
    <mergeCell ref="J15:K15"/>
    <mergeCell ref="J6:K11"/>
    <mergeCell ref="A2:E2"/>
    <mergeCell ref="A1:E1"/>
    <mergeCell ref="A4:A14"/>
    <mergeCell ref="G2:H2"/>
    <mergeCell ref="G3:G5"/>
    <mergeCell ref="H3:H5"/>
    <mergeCell ref="G13:K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3:H2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0.25390625" style="0" customWidth="1"/>
    <col min="2" max="2" width="8.25390625" style="0" customWidth="1"/>
    <col min="3" max="3" width="10.125" style="0" bestFit="1" customWidth="1"/>
    <col min="4" max="4" width="7.125" style="0" bestFit="1" customWidth="1"/>
    <col min="5" max="5" width="17.625" style="0" customWidth="1"/>
    <col min="6" max="6" width="9.875" style="0" customWidth="1"/>
    <col min="7" max="7" width="9.25390625" style="0" bestFit="1" customWidth="1"/>
    <col min="8" max="8" width="5.00390625" style="0" bestFit="1" customWidth="1"/>
  </cols>
  <sheetData>
    <row r="3" spans="1:2" ht="15.75">
      <c r="A3" s="87">
        <v>2021</v>
      </c>
      <c r="B3" s="89" t="s">
        <v>84</v>
      </c>
    </row>
    <row r="5" spans="1:8" ht="12.75">
      <c r="A5" s="82" t="s">
        <v>75</v>
      </c>
      <c r="B5" s="82"/>
      <c r="C5" s="82"/>
      <c r="D5" s="82"/>
      <c r="E5" s="82"/>
      <c r="F5" s="82"/>
      <c r="G5" s="82"/>
      <c r="H5" s="82"/>
    </row>
    <row r="6" spans="1:8" ht="12.75">
      <c r="A6" s="83" t="s">
        <v>83</v>
      </c>
      <c r="B6" s="83"/>
      <c r="C6" s="83" t="s">
        <v>76</v>
      </c>
      <c r="D6" s="83"/>
      <c r="E6" s="83"/>
      <c r="F6" s="83"/>
      <c r="G6" s="83"/>
      <c r="H6" s="83" t="s">
        <v>77</v>
      </c>
    </row>
    <row r="7" spans="1:8" ht="12.75">
      <c r="A7" s="95">
        <v>0</v>
      </c>
      <c r="B7" s="84" t="s">
        <v>78</v>
      </c>
      <c r="C7" s="95">
        <v>24000</v>
      </c>
      <c r="D7" s="84" t="s">
        <v>79</v>
      </c>
      <c r="E7" s="84"/>
      <c r="F7" s="84"/>
      <c r="G7" s="84"/>
      <c r="H7" s="86">
        <v>0.15</v>
      </c>
    </row>
    <row r="8" spans="1:8" ht="12.75">
      <c r="A8" s="95">
        <v>24001</v>
      </c>
      <c r="B8" s="84" t="s">
        <v>80</v>
      </c>
      <c r="C8" s="95">
        <v>53000</v>
      </c>
      <c r="D8" s="84" t="s">
        <v>79</v>
      </c>
      <c r="E8" s="88" t="s">
        <v>120</v>
      </c>
      <c r="F8" s="85">
        <v>3600</v>
      </c>
      <c r="G8" s="84" t="s">
        <v>81</v>
      </c>
      <c r="H8" s="86">
        <v>0.2</v>
      </c>
    </row>
    <row r="9" spans="1:8" ht="12.75">
      <c r="A9" s="95">
        <v>53001</v>
      </c>
      <c r="B9" s="84" t="s">
        <v>80</v>
      </c>
      <c r="C9" s="95">
        <v>190000</v>
      </c>
      <c r="D9" s="84" t="s">
        <v>79</v>
      </c>
      <c r="E9" s="88" t="s">
        <v>121</v>
      </c>
      <c r="F9" s="85">
        <v>9400</v>
      </c>
      <c r="G9" s="84" t="s">
        <v>81</v>
      </c>
      <c r="H9" s="86">
        <v>0.27</v>
      </c>
    </row>
    <row r="10" spans="1:8" ht="12.75">
      <c r="A10" s="95">
        <v>190001</v>
      </c>
      <c r="B10" s="198" t="s">
        <v>117</v>
      </c>
      <c r="C10" s="95">
        <v>650000</v>
      </c>
      <c r="D10" s="84" t="s">
        <v>79</v>
      </c>
      <c r="E10" s="88" t="s">
        <v>118</v>
      </c>
      <c r="F10" s="85">
        <v>46390</v>
      </c>
      <c r="G10" s="84" t="s">
        <v>81</v>
      </c>
      <c r="H10" s="86">
        <v>0.35</v>
      </c>
    </row>
    <row r="11" spans="1:8" ht="12.75">
      <c r="A11" s="95">
        <v>650001</v>
      </c>
      <c r="B11" s="313" t="s">
        <v>82</v>
      </c>
      <c r="C11" s="314"/>
      <c r="D11" s="315"/>
      <c r="E11" s="88" t="s">
        <v>122</v>
      </c>
      <c r="F11" s="85">
        <v>207390</v>
      </c>
      <c r="G11" s="84" t="s">
        <v>81</v>
      </c>
      <c r="H11" s="86">
        <v>0.4</v>
      </c>
    </row>
    <row r="17" spans="1:2" ht="15.75">
      <c r="A17" s="87">
        <v>2021</v>
      </c>
      <c r="B17" s="89" t="s">
        <v>94</v>
      </c>
    </row>
    <row r="19" ht="12.75">
      <c r="A19" s="184">
        <v>0.00759</v>
      </c>
    </row>
    <row r="20" spans="1:8" ht="12.75">
      <c r="A20" s="312"/>
      <c r="B20" s="312"/>
      <c r="C20" s="312"/>
      <c r="D20" s="312"/>
      <c r="E20" s="312"/>
      <c r="F20" s="312"/>
      <c r="G20" s="312"/>
      <c r="H20" s="312"/>
    </row>
  </sheetData>
  <sheetProtection/>
  <mergeCells count="2">
    <mergeCell ref="A20:H20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AR50"/>
  <sheetViews>
    <sheetView zoomScalePageLayoutView="0" workbookViewId="0" topLeftCell="A1">
      <selection activeCell="P24" sqref="P24"/>
    </sheetView>
  </sheetViews>
  <sheetFormatPr defaultColWidth="8.875" defaultRowHeight="12.75"/>
  <cols>
    <col min="1" max="1" width="2.375" style="7" customWidth="1"/>
    <col min="2" max="3" width="15.75390625" style="7" bestFit="1" customWidth="1"/>
    <col min="4" max="4" width="11.00390625" style="7" bestFit="1" customWidth="1"/>
    <col min="5" max="5" width="9.75390625" style="7" bestFit="1" customWidth="1"/>
    <col min="6" max="6" width="10.00390625" style="7" bestFit="1" customWidth="1"/>
    <col min="7" max="7" width="4.875" style="7" bestFit="1" customWidth="1"/>
    <col min="8" max="10" width="3.375" style="7" bestFit="1" customWidth="1"/>
    <col min="11" max="11" width="7.00390625" style="7" customWidth="1"/>
    <col min="12" max="12" width="4.625" style="7" customWidth="1"/>
    <col min="13" max="13" width="10.125" style="7" bestFit="1" customWidth="1"/>
    <col min="14" max="14" width="8.875" style="7" customWidth="1"/>
    <col min="15" max="15" width="10.125" style="7" bestFit="1" customWidth="1"/>
    <col min="16" max="38" width="8.875" style="7" customWidth="1"/>
    <col min="39" max="39" width="14.25390625" style="7" customWidth="1"/>
    <col min="40" max="40" width="8.875" style="7" customWidth="1"/>
    <col min="41" max="41" width="12.25390625" style="7" customWidth="1"/>
    <col min="42" max="42" width="8.875" style="7" customWidth="1"/>
    <col min="43" max="43" width="15.125" style="7" customWidth="1"/>
    <col min="44" max="16384" width="8.875" style="7" customWidth="1"/>
  </cols>
  <sheetData>
    <row r="1" spans="1:5" ht="9" customHeight="1">
      <c r="A1" s="318"/>
      <c r="B1" s="319"/>
      <c r="C1" s="6"/>
      <c r="D1" s="6"/>
      <c r="E1" s="6"/>
    </row>
    <row r="2" spans="1:44" ht="10.5">
      <c r="A2" s="317"/>
      <c r="B2" s="317"/>
      <c r="AL2" s="11"/>
      <c r="AM2" s="12"/>
      <c r="AN2" s="12"/>
      <c r="AO2" s="12"/>
      <c r="AP2" s="12"/>
      <c r="AQ2" s="12"/>
      <c r="AR2" s="11"/>
    </row>
    <row r="3" spans="1:44" ht="10.5">
      <c r="A3" s="317"/>
      <c r="B3" s="317"/>
      <c r="M3" s="99"/>
      <c r="N3" s="99"/>
      <c r="AL3" s="11"/>
      <c r="AM3" s="12"/>
      <c r="AN3" s="12"/>
      <c r="AO3" s="12"/>
      <c r="AP3" s="12"/>
      <c r="AQ3" s="12"/>
      <c r="AR3" s="11"/>
    </row>
    <row r="4" spans="1:44" ht="10.5">
      <c r="A4" s="317"/>
      <c r="B4" s="317"/>
      <c r="M4" s="99"/>
      <c r="N4" s="99"/>
      <c r="AL4" s="11"/>
      <c r="AM4" s="12"/>
      <c r="AN4" s="12"/>
      <c r="AO4" s="12"/>
      <c r="AP4" s="12"/>
      <c r="AQ4" s="12"/>
      <c r="AR4" s="11"/>
    </row>
    <row r="5" spans="1:44" ht="9" customHeight="1">
      <c r="A5" s="317"/>
      <c r="B5" s="317"/>
      <c r="C5" s="27"/>
      <c r="D5" s="11"/>
      <c r="E5" s="11"/>
      <c r="M5" s="99"/>
      <c r="N5" s="99"/>
      <c r="AL5" s="11"/>
      <c r="AM5" s="12"/>
      <c r="AN5" s="12"/>
      <c r="AO5" s="12"/>
      <c r="AP5" s="12"/>
      <c r="AQ5" s="12"/>
      <c r="AR5" s="11"/>
    </row>
    <row r="6" spans="1:44" ht="20.25" customHeight="1">
      <c r="A6" s="257" t="s">
        <v>3</v>
      </c>
      <c r="B6" s="96" t="s">
        <v>7</v>
      </c>
      <c r="C6" s="316"/>
      <c r="D6" s="316"/>
      <c r="E6" s="316"/>
      <c r="M6" s="99"/>
      <c r="N6" s="99"/>
      <c r="AL6" s="11"/>
      <c r="AM6" s="12"/>
      <c r="AN6" s="12"/>
      <c r="AO6" s="12"/>
      <c r="AP6" s="12"/>
      <c r="AQ6" s="12"/>
      <c r="AR6" s="11"/>
    </row>
    <row r="7" spans="1:44" ht="31.5" customHeight="1">
      <c r="A7" s="258"/>
      <c r="B7" s="223" t="s">
        <v>8</v>
      </c>
      <c r="C7" s="203" t="s">
        <v>15</v>
      </c>
      <c r="D7" s="204"/>
      <c r="E7" s="204"/>
      <c r="F7" s="320" t="s">
        <v>105</v>
      </c>
      <c r="G7" s="323" t="s">
        <v>100</v>
      </c>
      <c r="H7" s="323" t="s">
        <v>101</v>
      </c>
      <c r="I7" s="323" t="s">
        <v>102</v>
      </c>
      <c r="J7" s="323" t="s">
        <v>103</v>
      </c>
      <c r="K7" s="326" t="s">
        <v>104</v>
      </c>
      <c r="AL7" s="11"/>
      <c r="AM7" s="11"/>
      <c r="AN7" s="11"/>
      <c r="AO7" s="11"/>
      <c r="AP7" s="11"/>
      <c r="AQ7" s="11"/>
      <c r="AR7" s="11"/>
    </row>
    <row r="8" spans="1:44" ht="24" customHeight="1">
      <c r="A8" s="258"/>
      <c r="B8" s="224"/>
      <c r="C8" s="206" t="s">
        <v>95</v>
      </c>
      <c r="D8" s="207"/>
      <c r="E8" s="208"/>
      <c r="F8" s="321"/>
      <c r="G8" s="324"/>
      <c r="H8" s="324"/>
      <c r="I8" s="324"/>
      <c r="J8" s="324"/>
      <c r="K8" s="327"/>
      <c r="AL8" s="11"/>
      <c r="AM8" s="11"/>
      <c r="AN8" s="11"/>
      <c r="AO8" s="11"/>
      <c r="AP8" s="11"/>
      <c r="AQ8" s="11"/>
      <c r="AR8" s="11"/>
    </row>
    <row r="9" spans="1:44" ht="15.75" customHeight="1">
      <c r="A9" s="258"/>
      <c r="B9" s="224"/>
      <c r="C9" s="209" t="s">
        <v>98</v>
      </c>
      <c r="D9" s="209" t="s">
        <v>53</v>
      </c>
      <c r="E9" s="209" t="s">
        <v>96</v>
      </c>
      <c r="F9" s="321"/>
      <c r="G9" s="324"/>
      <c r="H9" s="324"/>
      <c r="I9" s="324"/>
      <c r="J9" s="324"/>
      <c r="K9" s="327"/>
      <c r="AL9" s="11"/>
      <c r="AM9" s="11"/>
      <c r="AN9" s="11"/>
      <c r="AO9" s="11"/>
      <c r="AP9" s="11"/>
      <c r="AQ9" s="11"/>
      <c r="AR9" s="11"/>
    </row>
    <row r="10" spans="1:11" ht="15.75" customHeight="1">
      <c r="A10" s="259"/>
      <c r="B10" s="225"/>
      <c r="C10" s="210"/>
      <c r="D10" s="210"/>
      <c r="E10" s="210"/>
      <c r="F10" s="322"/>
      <c r="G10" s="325"/>
      <c r="H10" s="325"/>
      <c r="I10" s="325"/>
      <c r="J10" s="325"/>
      <c r="K10" s="328"/>
    </row>
    <row r="11" spans="1:20" ht="15" customHeight="1">
      <c r="A11" s="48">
        <v>1</v>
      </c>
      <c r="B11" s="98" t="str">
        <f>IF('BORDRO (Sayfa-1)'!B11="","",'BORDRO (Sayfa-1)'!B11)</f>
        <v>Esin KILIÇ</v>
      </c>
      <c r="C11" s="18">
        <f>IF('BORDRO (Sayfa-1)'!U11="",0,'BORDRO (Sayfa-1)'!U11)</f>
        <v>0</v>
      </c>
      <c r="D11" s="18">
        <f>IF('BORDRO (Sayfa-1)'!V11="",0,'BORDRO (Sayfa-1)'!V11)</f>
        <v>3040.87</v>
      </c>
      <c r="E11" s="18">
        <f>C11+D11</f>
        <v>3040.87</v>
      </c>
      <c r="F11" s="101">
        <f>IF(OR(E11="",P!$G$13="H"),0,IF(C11&lt;=GVT!$C$7,C11*GVT!$H$7,IF(AND(C11&gt;GVT!$A$8,C11&lt;=GVT!$C$8),(C11-GVT!$C$7)*GVT!$H$8+GVT!$F$8,IF(AND(C11&gt;GVT!$A$9,C11&lt;=GVT!$C$9),((C11-GVT!$C$8)*GVT!$H$9+GVT!$F$9),((C11-GVT!$A$11)*GVT!$H$11+GVT!$F$11)))))</f>
        <v>0</v>
      </c>
      <c r="G11" s="100">
        <f>IF(OR(E11="",P!$G$13="H",E11&gt;$O$15),0,(IF(E11&lt;=GVT!$C$7,E11*GVT!$H$7,IF(AND(E11&gt;GVT!$A$8,E11&lt;=GVT!$C$8),(E11-GVT!$C$7)*GVT!$H$8+GVT!$F$8,IF(AND(E11&gt;GVT!$A$9,E11&lt;=GVT!$C$9),((E11-GVT!$C$8)*GVT!$H$9+GVT!$F$9),((E11-GVT!$A$11)*GVT!$H$11+GVT!$F$11)))))-F11)</f>
        <v>456.1305</v>
      </c>
      <c r="H11" s="100">
        <f>IF(OR(E11="",P!$G$13="H",E11&gt;$O$16,E11&lt;$O$15),0,(IF(E11&lt;=GVT!$C$7,E11*GVT!$H$7,IF(AND(E11&gt;GVT!$A$8,E11&lt;=GVT!$C$8),(E11-GVT!$C$7)*GVT!$H$8+GVT!$F$8,IF(AND(E11&gt;GVT!$A$9,E11&lt;=GVT!$C$9),((E11-GVT!$C$8)*GVT!$H$9+GVT!$F$9),((E11-GVT!$A$11)*GVT!$H$11+GVT!$F$11)))))-F11)</f>
        <v>0</v>
      </c>
      <c r="I11" s="100">
        <f>IF(OR(E11="",E11&gt;$O$17,E11&lt;$O$16),0,(IF(OR(E11="",P!$G$13="H"),0,IF(E11&lt;=GVT!$C$7,E11*GVT!$H$7,IF(AND(E11&gt;GVT!$A$8,E11&lt;=GVT!$C$8),(E11-GVT!$C$7)*GVT!$H$8+GVT!$F$8,IF(AND(E11&gt;GVT!$A$9,E11&lt;=GVT!$C$9),((E11-GVT!$C$8)*GVT!$H$9+GVT!$F$9),((E11-GVT!$A$11)*GVT!$H$11+GVT!$F$11)))))-F11))</f>
        <v>0</v>
      </c>
      <c r="J11" s="100">
        <f>IF(OR(E11="",E11&lt;$M$18),0,(IF(OR(E11="",P!$G$13="H"),0,IF(E11&lt;=GVT!$C$7,E11*GVT!$H$7,IF(AND(E11&gt;GVT!$A$8,E11&lt;=GVT!$C$8),(E11-GVT!$C$7)*GVT!$H$8+GVT!$F$8,IF(AND(E11&gt;GVT!$A$9,E11&lt;=GVT!$C$9),((E11-GVT!$C$8)*GVT!$H$9+GVT!$F$9),((E11-GVT!$A$11)*GVT!$H$11+GVT!$F$11)))))-F11))</f>
        <v>0</v>
      </c>
      <c r="K11" s="102">
        <f>IF(E11="","",G11+H11+I11+J11)</f>
        <v>456.1305</v>
      </c>
      <c r="M11" s="87">
        <f>GVT!A3</f>
        <v>2021</v>
      </c>
      <c r="N11" s="89" t="str">
        <f>GVT!B3</f>
        <v>Yılına Ait "GELİR VERGİSİ TARİFESİ"</v>
      </c>
      <c r="O11"/>
      <c r="P11"/>
      <c r="Q11"/>
      <c r="R11"/>
      <c r="S11"/>
      <c r="T11"/>
    </row>
    <row r="12" spans="1:20" ht="15" customHeight="1">
      <c r="A12" s="48">
        <v>2</v>
      </c>
      <c r="B12" s="98">
        <f>IF('BORDRO (Sayfa-1)'!B12="","",'BORDRO (Sayfa-1)'!B12)</f>
      </c>
      <c r="C12" s="18">
        <f>IF('BORDRO (Sayfa-1)'!U12="",0,'BORDRO (Sayfa-1)'!U12)</f>
        <v>0</v>
      </c>
      <c r="D12" s="18">
        <f>IF('BORDRO (Sayfa-1)'!V12="",0,'BORDRO (Sayfa-1)'!V12)</f>
        <v>0</v>
      </c>
      <c r="E12" s="18">
        <f aca="true" t="shared" si="0" ref="E12:E50">C12+D12</f>
        <v>0</v>
      </c>
      <c r="F12" s="101">
        <f>IF(OR(E12="",P!$G$13="H"),0,IF(C12&lt;=GVT!$C$7,C12*GVT!$H$7,IF(AND(C12&gt;GVT!$A$8,C12&lt;=GVT!$C$8),(C12-GVT!$C$7)*GVT!$H$8+GVT!$F$8,IF(AND(C12&gt;GVT!$A$9,C12&lt;=GVT!$C$9),((C12-GVT!$C$8)*GVT!$H$9+GVT!$F$9),((C12-GVT!$A$11)*GVT!$H$11+GVT!$F$11)))))</f>
        <v>0</v>
      </c>
      <c r="G12" s="100">
        <f>IF(OR(E12="",P!$G$13="H",E12&gt;$O$15),0,(IF(E12&lt;=GVT!$C$7,E12*GVT!$H$7,IF(AND(E12&gt;GVT!$A$8,E12&lt;=GVT!$C$8),(E12-GVT!$C$7)*GVT!$H$8+GVT!$F$8,IF(AND(E12&gt;GVT!$A$9,E12&lt;=GVT!$C$9),((E12-GVT!$C$8)*GVT!$H$9+GVT!$F$9),((E12-GVT!$A$11)*GVT!$H$11+GVT!$F$11)))))-F12)</f>
        <v>0</v>
      </c>
      <c r="H12" s="100">
        <f>IF(OR(E12="",P!$G$13="H",E12&gt;$O$16,E12&lt;$O$15),0,(IF(E12&lt;=GVT!$C$7,E12*GVT!$H$7,IF(AND(E12&gt;GVT!$A$8,E12&lt;=GVT!$C$8),(E12-GVT!$C$7)*GVT!$H$8+GVT!$F$8,IF(AND(E12&gt;GVT!$A$9,E12&lt;=GVT!$C$9),((E12-GVT!$C$8)*GVT!$H$9+GVT!$F$9),((E12-GVT!$A$11)*GVT!$H$11+GVT!$F$11)))))-F12)</f>
        <v>0</v>
      </c>
      <c r="I12" s="100">
        <f>IF(OR(E12="",E12&gt;$O$17,E12&lt;$O$16),0,(IF(OR(E12="",P!$G$13="H"),0,IF(E12&lt;=GVT!$C$7,E12*GVT!$H$7,IF(AND(E12&gt;GVT!$A$8,E12&lt;=GVT!$C$8),(E12-GVT!$C$7)*GVT!$H$8+GVT!$F$8,IF(AND(E12&gt;GVT!$A$9,E12&lt;=GVT!$C$9),((E12-GVT!$C$8)*GVT!$H$9+GVT!$F$9),((E12-GVT!$A$11)*GVT!$H$11+GVT!$F$11)))))-F12))</f>
        <v>0</v>
      </c>
      <c r="J12" s="100">
        <f>IF(OR(E12="",E12&lt;$M$18),0,(IF(OR(E12="",P!$G$13="H"),0,IF(E12&lt;=GVT!$C$7,E12*GVT!$H$7,IF(AND(E12&gt;GVT!$A$8,E12&lt;=GVT!$C$8),(E12-GVT!$C$7)*GVT!$H$8+GVT!$F$8,IF(AND(E12&gt;GVT!$A$9,E12&lt;=GVT!$C$9),((E12-GVT!$C$8)*GVT!$H$9+GVT!$F$9),((E12-GVT!$A$11)*GVT!$H$11+GVT!$F$11)))))-F12))</f>
        <v>0</v>
      </c>
      <c r="K12" s="102">
        <f aca="true" t="shared" si="1" ref="K12:K50">IF(E12="","",G12+H12+I12+J12)</f>
        <v>0</v>
      </c>
      <c r="M12"/>
      <c r="N12"/>
      <c r="O12"/>
      <c r="P12"/>
      <c r="Q12"/>
      <c r="R12"/>
      <c r="S12"/>
      <c r="T12"/>
    </row>
    <row r="13" spans="1:20" ht="15" customHeight="1">
      <c r="A13" s="48">
        <v>3</v>
      </c>
      <c r="B13" s="98">
        <f>IF('BORDRO (Sayfa-1)'!B13="","",'BORDRO (Sayfa-1)'!B13)</f>
      </c>
      <c r="C13" s="18">
        <f>IF('BORDRO (Sayfa-1)'!U13="",0,'BORDRO (Sayfa-1)'!U13)</f>
        <v>0</v>
      </c>
      <c r="D13" s="18">
        <f>IF('BORDRO (Sayfa-1)'!V13="",0,'BORDRO (Sayfa-1)'!V13)</f>
        <v>0</v>
      </c>
      <c r="E13" s="18">
        <f t="shared" si="0"/>
        <v>0</v>
      </c>
      <c r="F13" s="101">
        <f>IF(OR(E13="",P!$G$13="H"),0,IF(C13&lt;=GVT!$C$7,C13*GVT!$H$7,IF(AND(C13&gt;GVT!$A$8,C13&lt;=GVT!$C$8),(C13-GVT!$C$7)*GVT!$H$8+GVT!$F$8,IF(AND(C13&gt;GVT!$A$9,C13&lt;=GVT!$C$9),((C13-GVT!$C$8)*GVT!$H$9+GVT!$F$9),((C13-GVT!$A$11)*GVT!$H$11+GVT!$F$11)))))</f>
        <v>0</v>
      </c>
      <c r="G13" s="100">
        <f>IF(OR(E13="",P!$G$13="H",E13&gt;$O$15),0,(IF(E13&lt;=GVT!$C$7,E13*GVT!$H$7,IF(AND(E13&gt;GVT!$A$8,E13&lt;=GVT!$C$8),(E13-GVT!$C$7)*GVT!$H$8+GVT!$F$8,IF(AND(E13&gt;GVT!$A$9,E13&lt;=GVT!$C$9),((E13-GVT!$C$8)*GVT!$H$9+GVT!$F$9),((E13-GVT!$A$11)*GVT!$H$11+GVT!$F$11)))))-F13)</f>
        <v>0</v>
      </c>
      <c r="H13" s="100">
        <f>IF(OR(E13="",P!$G$13="H",E13&gt;$O$16,E13&lt;$O$15),0,(IF(E13&lt;=GVT!$C$7,E13*GVT!$H$7,IF(AND(E13&gt;GVT!$A$8,E13&lt;=GVT!$C$8),(E13-GVT!$C$7)*GVT!$H$8+GVT!$F$8,IF(AND(E13&gt;GVT!$A$9,E13&lt;=GVT!$C$9),((E13-GVT!$C$8)*GVT!$H$9+GVT!$F$9),((E13-GVT!$A$11)*GVT!$H$11+GVT!$F$11)))))-F13)</f>
        <v>0</v>
      </c>
      <c r="I13" s="100">
        <f>IF(OR(E13="",E13&gt;$O$17,E13&lt;$O$16),0,(IF(OR(E13="",P!$G$13="H"),0,IF(E13&lt;=GVT!$C$7,E13*GVT!$H$7,IF(AND(E13&gt;GVT!$A$8,E13&lt;=GVT!$C$8),(E13-GVT!$C$7)*GVT!$H$8+GVT!$F$8,IF(AND(E13&gt;GVT!$A$9,E13&lt;=GVT!$C$9),((E13-GVT!$C$8)*GVT!$H$9+GVT!$F$9),((E13-GVT!$A$11)*GVT!$H$11+GVT!$F$11)))))-F13))</f>
        <v>0</v>
      </c>
      <c r="J13" s="100">
        <f>IF(OR(E13="",E13&lt;$M$18),0,(IF(OR(E13="",P!$G$13="H"),0,IF(E13&lt;=GVT!$C$7,E13*GVT!$H$7,IF(AND(E13&gt;GVT!$A$8,E13&lt;=GVT!$C$8),(E13-GVT!$C$7)*GVT!$H$8+GVT!$F$8,IF(AND(E13&gt;GVT!$A$9,E13&lt;=GVT!$C$9),((E13-GVT!$C$8)*GVT!$H$9+GVT!$F$9),((E13-GVT!$A$11)*GVT!$H$11+GVT!$F$11)))))-F13))</f>
        <v>0</v>
      </c>
      <c r="K13" s="102">
        <f t="shared" si="1"/>
        <v>0</v>
      </c>
      <c r="M13" s="82" t="str">
        <f>GVT!A5</f>
        <v>DİLİMLER</v>
      </c>
      <c r="N13" s="82"/>
      <c r="O13" s="82"/>
      <c r="P13" s="82"/>
      <c r="Q13" s="82"/>
      <c r="R13" s="82"/>
      <c r="S13" s="82"/>
      <c r="T13" s="82"/>
    </row>
    <row r="14" spans="1:20" ht="15" customHeight="1">
      <c r="A14" s="48">
        <v>4</v>
      </c>
      <c r="B14" s="98">
        <f>IF('BORDRO (Sayfa-1)'!B14="","",'BORDRO (Sayfa-1)'!B14)</f>
      </c>
      <c r="C14" s="18">
        <f>IF('BORDRO (Sayfa-1)'!U14="",0,'BORDRO (Sayfa-1)'!U14)</f>
        <v>0</v>
      </c>
      <c r="D14" s="18">
        <f>IF('BORDRO (Sayfa-1)'!V14="",0,'BORDRO (Sayfa-1)'!V14)</f>
        <v>0</v>
      </c>
      <c r="E14" s="18">
        <f t="shared" si="0"/>
        <v>0</v>
      </c>
      <c r="F14" s="101">
        <f>IF(OR(E14="",P!$G$13="H"),0,IF(C14&lt;=GVT!$C$7,C14*GVT!$H$7,IF(AND(C14&gt;GVT!$A$8,C14&lt;=GVT!$C$8),(C14-GVT!$C$7)*GVT!$H$8+GVT!$F$8,IF(AND(C14&gt;GVT!$A$9,C14&lt;=GVT!$C$9),((C14-GVT!$C$8)*GVT!$H$9+GVT!$F$9),((C14-GVT!$A$11)*GVT!$H$11+GVT!$F$11)))))</f>
        <v>0</v>
      </c>
      <c r="G14" s="100">
        <f>IF(OR(E14="",P!$G$13="H",E14&gt;$O$15),0,(IF(E14&lt;=GVT!$C$7,E14*GVT!$H$7,IF(AND(E14&gt;GVT!$A$8,E14&lt;=GVT!$C$8),(E14-GVT!$C$7)*GVT!$H$8+GVT!$F$8,IF(AND(E14&gt;GVT!$A$9,E14&lt;=GVT!$C$9),((E14-GVT!$C$8)*GVT!$H$9+GVT!$F$9),((E14-GVT!$A$11)*GVT!$H$11+GVT!$F$11)))))-F14)</f>
        <v>0</v>
      </c>
      <c r="H14" s="100">
        <f>IF(OR(E14="",P!$G$13="H",E14&gt;$O$16,E14&lt;$O$15),0,(IF(E14&lt;=GVT!$C$7,E14*GVT!$H$7,IF(AND(E14&gt;GVT!$A$8,E14&lt;=GVT!$C$8),(E14-GVT!$C$7)*GVT!$H$8+GVT!$F$8,IF(AND(E14&gt;GVT!$A$9,E14&lt;=GVT!$C$9),((E14-GVT!$C$8)*GVT!$H$9+GVT!$F$9),((E14-GVT!$A$11)*GVT!$H$11+GVT!$F$11)))))-F14)</f>
        <v>0</v>
      </c>
      <c r="I14" s="100">
        <f>IF(OR(E14="",E14&gt;$O$17,E14&lt;$O$16),0,(IF(OR(E14="",P!$G$13="H"),0,IF(E14&lt;=GVT!$C$7,E14*GVT!$H$7,IF(AND(E14&gt;GVT!$A$8,E14&lt;=GVT!$C$8),(E14-GVT!$C$7)*GVT!$H$8+GVT!$F$8,IF(AND(E14&gt;GVT!$A$9,E14&lt;=GVT!$C$9),((E14-GVT!$C$8)*GVT!$H$9+GVT!$F$9),((E14-GVT!$A$11)*GVT!$H$11+GVT!$F$11)))))-F14))</f>
        <v>0</v>
      </c>
      <c r="J14" s="100">
        <f>IF(OR(E14="",E14&lt;$M$18),0,(IF(OR(E14="",P!$G$13="H"),0,IF(E14&lt;=GVT!$C$7,E14*GVT!$H$7,IF(AND(E14&gt;GVT!$A$8,E14&lt;=GVT!$C$8),(E14-GVT!$C$7)*GVT!$H$8+GVT!$F$8,IF(AND(E14&gt;GVT!$A$9,E14&lt;=GVT!$C$9),((E14-GVT!$C$8)*GVT!$H$9+GVT!$F$9),((E14-GVT!$A$11)*GVT!$H$11+GVT!$F$11)))))-F14))</f>
        <v>0</v>
      </c>
      <c r="K14" s="102">
        <f t="shared" si="1"/>
        <v>0</v>
      </c>
      <c r="M14" s="83" t="str">
        <f>GVT!A6</f>
        <v>Başlangıcı</v>
      </c>
      <c r="N14" s="83"/>
      <c r="O14" s="83" t="str">
        <f>GVT!C6</f>
        <v>Sonu</v>
      </c>
      <c r="P14" s="83"/>
      <c r="Q14" s="83"/>
      <c r="R14" s="83"/>
      <c r="S14" s="83"/>
      <c r="T14" s="83" t="str">
        <f>GVT!H6</f>
        <v>Oran</v>
      </c>
    </row>
    <row r="15" spans="1:20" ht="15" customHeight="1">
      <c r="A15" s="48">
        <v>5</v>
      </c>
      <c r="B15" s="98">
        <f>IF('BORDRO (Sayfa-1)'!B15="","",'BORDRO (Sayfa-1)'!B15)</f>
      </c>
      <c r="C15" s="18">
        <f>IF('BORDRO (Sayfa-1)'!U15="",0,'BORDRO (Sayfa-1)'!U15)</f>
        <v>0</v>
      </c>
      <c r="D15" s="18">
        <f>IF('BORDRO (Sayfa-1)'!V15="",0,'BORDRO (Sayfa-1)'!V15)</f>
        <v>0</v>
      </c>
      <c r="E15" s="18">
        <f t="shared" si="0"/>
        <v>0</v>
      </c>
      <c r="F15" s="101">
        <f>IF(OR(E15="",P!$G$13="H"),0,IF(C15&lt;=GVT!$C$7,C15*GVT!$H$7,IF(AND(C15&gt;GVT!$A$8,C15&lt;=GVT!$C$8),(C15-GVT!$C$7)*GVT!$H$8+GVT!$F$8,IF(AND(C15&gt;GVT!$A$9,C15&lt;=GVT!$C$9),((C15-GVT!$C$8)*GVT!$H$9+GVT!$F$9),((C15-GVT!$A$11)*GVT!$H$11+GVT!$F$11)))))</f>
        <v>0</v>
      </c>
      <c r="G15" s="100">
        <f>IF(OR(E15="",P!$G$13="H",E15&gt;$O$15),0,(IF(E15&lt;=GVT!$C$7,E15*GVT!$H$7,IF(AND(E15&gt;GVT!$A$8,E15&lt;=GVT!$C$8),(E15-GVT!$C$7)*GVT!$H$8+GVT!$F$8,IF(AND(E15&gt;GVT!$A$9,E15&lt;=GVT!$C$9),((E15-GVT!$C$8)*GVT!$H$9+GVT!$F$9),((E15-GVT!$A$11)*GVT!$H$11+GVT!$F$11)))))-F15)</f>
        <v>0</v>
      </c>
      <c r="H15" s="100">
        <f>IF(OR(E15="",P!$G$13="H",E15&gt;$O$16,E15&lt;$O$15),0,(IF(E15&lt;=GVT!$C$7,E15*GVT!$H$7,IF(AND(E15&gt;GVT!$A$8,E15&lt;=GVT!$C$8),(E15-GVT!$C$7)*GVT!$H$8+GVT!$F$8,IF(AND(E15&gt;GVT!$A$9,E15&lt;=GVT!$C$9),((E15-GVT!$C$8)*GVT!$H$9+GVT!$F$9),((E15-GVT!$A$11)*GVT!$H$11+GVT!$F$11)))))-F15)</f>
        <v>0</v>
      </c>
      <c r="I15" s="100">
        <f>IF(OR(E15="",E15&gt;$O$17,E15&lt;$O$16),0,(IF(OR(E15="",P!$G$13="H"),0,IF(E15&lt;=GVT!$C$7,E15*GVT!$H$7,IF(AND(E15&gt;GVT!$A$8,E15&lt;=GVT!$C$8),(E15-GVT!$C$7)*GVT!$H$8+GVT!$F$8,IF(AND(E15&gt;GVT!$A$9,E15&lt;=GVT!$C$9),((E15-GVT!$C$8)*GVT!$H$9+GVT!$F$9),((E15-GVT!$A$11)*GVT!$H$11+GVT!$F$11)))))-F15))</f>
        <v>0</v>
      </c>
      <c r="J15" s="100">
        <f>IF(OR(E15="",E15&lt;$M$18),0,(IF(OR(E15="",P!$G$13="H"),0,IF(E15&lt;=GVT!$C$7,E15*GVT!$H$7,IF(AND(E15&gt;GVT!$A$8,E15&lt;=GVT!$C$8),(E15-GVT!$C$7)*GVT!$H$8+GVT!$F$8,IF(AND(E15&gt;GVT!$A$9,E15&lt;=GVT!$C$9),((E15-GVT!$C$8)*GVT!$H$9+GVT!$F$9),((E15-GVT!$A$11)*GVT!$H$11+GVT!$F$11)))))-F15))</f>
        <v>0</v>
      </c>
      <c r="K15" s="102">
        <f t="shared" si="1"/>
        <v>0</v>
      </c>
      <c r="M15" s="95">
        <f>GVT!A7</f>
        <v>0</v>
      </c>
      <c r="N15" s="84" t="str">
        <f>GVT!B7</f>
        <v>dan</v>
      </c>
      <c r="O15" s="95">
        <v>22000</v>
      </c>
      <c r="P15" s="84" t="s">
        <v>79</v>
      </c>
      <c r="Q15" s="84"/>
      <c r="R15" s="84"/>
      <c r="S15" s="84"/>
      <c r="T15" s="86">
        <f>GVT!H7</f>
        <v>0.15</v>
      </c>
    </row>
    <row r="16" spans="1:20" ht="15" customHeight="1">
      <c r="A16" s="48">
        <v>6</v>
      </c>
      <c r="B16" s="98">
        <f>IF('BORDRO (Sayfa-1)'!B16="","",'BORDRO (Sayfa-1)'!B16)</f>
      </c>
      <c r="C16" s="18">
        <f>IF('BORDRO (Sayfa-1)'!U16="",0,'BORDRO (Sayfa-1)'!U16)</f>
        <v>0</v>
      </c>
      <c r="D16" s="18">
        <f>IF('BORDRO (Sayfa-1)'!V16="",0,'BORDRO (Sayfa-1)'!V16)</f>
        <v>0</v>
      </c>
      <c r="E16" s="18">
        <f t="shared" si="0"/>
        <v>0</v>
      </c>
      <c r="F16" s="101">
        <f>IF(OR(E16="",P!$G$13="H"),0,IF(C16&lt;=GVT!$C$7,C16*GVT!$H$7,IF(AND(C16&gt;GVT!$A$8,C16&lt;=GVT!$C$8),(C16-GVT!$C$7)*GVT!$H$8+GVT!$F$8,IF(AND(C16&gt;GVT!$A$9,C16&lt;=GVT!$C$9),((C16-GVT!$C$8)*GVT!$H$9+GVT!$F$9),((C16-GVT!$A$11)*GVT!$H$11+GVT!$F$11)))))</f>
        <v>0</v>
      </c>
      <c r="G16" s="100">
        <f>IF(OR(E16="",P!$G$13="H",E16&gt;$O$15),0,(IF(E16&lt;=GVT!$C$7,E16*GVT!$H$7,IF(AND(E16&gt;GVT!$A$8,E16&lt;=GVT!$C$8),(E16-GVT!$C$7)*GVT!$H$8+GVT!$F$8,IF(AND(E16&gt;GVT!$A$9,E16&lt;=GVT!$C$9),((E16-GVT!$C$8)*GVT!$H$9+GVT!$F$9),((E16-GVT!$A$11)*GVT!$H$11+GVT!$F$11)))))-F16)</f>
        <v>0</v>
      </c>
      <c r="H16" s="100">
        <f>IF(OR(E16="",P!$G$13="H",E16&gt;$O$16,E16&lt;$O$15),0,(IF(E16&lt;=GVT!$C$7,E16*GVT!$H$7,IF(AND(E16&gt;GVT!$A$8,E16&lt;=GVT!$C$8),(E16-GVT!$C$7)*GVT!$H$8+GVT!$F$8,IF(AND(E16&gt;GVT!$A$9,E16&lt;=GVT!$C$9),((E16-GVT!$C$8)*GVT!$H$9+GVT!$F$9),((E16-GVT!$A$11)*GVT!$H$11+GVT!$F$11)))))-F16)</f>
        <v>0</v>
      </c>
      <c r="I16" s="100">
        <f>IF(OR(E16="",E16&gt;$O$17,E16&lt;$O$16),0,(IF(OR(E16="",P!$G$13="H"),0,IF(E16&lt;=GVT!$C$7,E16*GVT!$H$7,IF(AND(E16&gt;GVT!$A$8,E16&lt;=GVT!$C$8),(E16-GVT!$C$7)*GVT!$H$8+GVT!$F$8,IF(AND(E16&gt;GVT!$A$9,E16&lt;=GVT!$C$9),((E16-GVT!$C$8)*GVT!$H$9+GVT!$F$9),((E16-GVT!$A$11)*GVT!$H$11+GVT!$F$11)))))-F16))</f>
        <v>0</v>
      </c>
      <c r="J16" s="100">
        <f>IF(OR(E16="",E16&lt;$M$18),0,(IF(OR(E16="",P!$G$13="H"),0,IF(E16&lt;=GVT!$C$7,E16*GVT!$H$7,IF(AND(E16&gt;GVT!$A$8,E16&lt;=GVT!$C$8),(E16-GVT!$C$7)*GVT!$H$8+GVT!$F$8,IF(AND(E16&gt;GVT!$A$9,E16&lt;=GVT!$C$9),((E16-GVT!$C$8)*GVT!$H$9+GVT!$F$9),((E16-GVT!$A$11)*GVT!$H$11+GVT!$F$11)))))-F16))</f>
        <v>0</v>
      </c>
      <c r="K16" s="102">
        <f t="shared" si="1"/>
        <v>0</v>
      </c>
      <c r="M16" s="95">
        <f>GVT!A8</f>
        <v>24001</v>
      </c>
      <c r="N16" s="84" t="str">
        <f>GVT!B8</f>
        <v>den</v>
      </c>
      <c r="O16" s="95">
        <v>49000</v>
      </c>
      <c r="P16" s="84" t="s">
        <v>79</v>
      </c>
      <c r="Q16" s="88" t="str">
        <f>GVT!E8</f>
        <v>24.000 TL.sı için</v>
      </c>
      <c r="R16" s="85">
        <f>GVT!F8</f>
        <v>3600</v>
      </c>
      <c r="S16" s="84" t="str">
        <f>GVT!G8</f>
        <v>TL. fazlası</v>
      </c>
      <c r="T16" s="86">
        <f>GVT!H8</f>
        <v>0.2</v>
      </c>
    </row>
    <row r="17" spans="1:20" ht="15" customHeight="1">
      <c r="A17" s="48">
        <v>7</v>
      </c>
      <c r="B17" s="98">
        <f>IF('BORDRO (Sayfa-1)'!B17="","",'BORDRO (Sayfa-1)'!B17)</f>
      </c>
      <c r="C17" s="18">
        <f>IF('BORDRO (Sayfa-1)'!U17="",0,'BORDRO (Sayfa-1)'!U17)</f>
        <v>0</v>
      </c>
      <c r="D17" s="18">
        <f>IF('BORDRO (Sayfa-1)'!V17="",0,'BORDRO (Sayfa-1)'!V17)</f>
        <v>0</v>
      </c>
      <c r="E17" s="18">
        <f t="shared" si="0"/>
        <v>0</v>
      </c>
      <c r="F17" s="101">
        <f>IF(OR(E17="",P!$G$13="H"),0,IF(C17&lt;=GVT!$C$7,C17*GVT!$H$7,IF(AND(C17&gt;GVT!$A$8,C17&lt;=GVT!$C$8),(C17-GVT!$C$7)*GVT!$H$8+GVT!$F$8,IF(AND(C17&gt;GVT!$A$9,C17&lt;=GVT!$C$9),((C17-GVT!$C$8)*GVT!$H$9+GVT!$F$9),((C17-GVT!$A$11)*GVT!$H$11+GVT!$F$11)))))</f>
        <v>0</v>
      </c>
      <c r="G17" s="100">
        <f>IF(OR(E17="",P!$G$13="H",E17&gt;$O$15),0,(IF(E17&lt;=GVT!$C$7,E17*GVT!$H$7,IF(AND(E17&gt;GVT!$A$8,E17&lt;=GVT!$C$8),(E17-GVT!$C$7)*GVT!$H$8+GVT!$F$8,IF(AND(E17&gt;GVT!$A$9,E17&lt;=GVT!$C$9),((E17-GVT!$C$8)*GVT!$H$9+GVT!$F$9),((E17-GVT!$A$11)*GVT!$H$11+GVT!$F$11)))))-F17)</f>
        <v>0</v>
      </c>
      <c r="H17" s="100">
        <f>IF(OR(E17="",P!$G$13="H",E17&gt;$O$16,E17&lt;$O$15),0,(IF(E17&lt;=GVT!$C$7,E17*GVT!$H$7,IF(AND(E17&gt;GVT!$A$8,E17&lt;=GVT!$C$8),(E17-GVT!$C$7)*GVT!$H$8+GVT!$F$8,IF(AND(E17&gt;GVT!$A$9,E17&lt;=GVT!$C$9),((E17-GVT!$C$8)*GVT!$H$9+GVT!$F$9),((E17-GVT!$A$11)*GVT!$H$11+GVT!$F$11)))))-F17)</f>
        <v>0</v>
      </c>
      <c r="I17" s="100">
        <f>IF(OR(E17="",E17&gt;$O$17,E17&lt;$O$16),0,(IF(OR(E17="",P!$G$13="H"),0,IF(E17&lt;=GVT!$C$7,E17*GVT!$H$7,IF(AND(E17&gt;GVT!$A$8,E17&lt;=GVT!$C$8),(E17-GVT!$C$7)*GVT!$H$8+GVT!$F$8,IF(AND(E17&gt;GVT!$A$9,E17&lt;=GVT!$C$9),((E17-GVT!$C$8)*GVT!$H$9+GVT!$F$9),((E17-GVT!$A$11)*GVT!$H$11+GVT!$F$11)))))-F17))</f>
        <v>0</v>
      </c>
      <c r="J17" s="100">
        <f>IF(OR(E17="",E17&lt;$M$18),0,(IF(OR(E17="",P!$G$13="H"),0,IF(E17&lt;=GVT!$C$7,E17*GVT!$H$7,IF(AND(E17&gt;GVT!$A$8,E17&lt;=GVT!$C$8),(E17-GVT!$C$7)*GVT!$H$8+GVT!$F$8,IF(AND(E17&gt;GVT!$A$9,E17&lt;=GVT!$C$9),((E17-GVT!$C$8)*GVT!$H$9+GVT!$F$9),((E17-GVT!$A$11)*GVT!$H$11+GVT!$F$11)))))-F17))</f>
        <v>0</v>
      </c>
      <c r="K17" s="102">
        <f t="shared" si="1"/>
        <v>0</v>
      </c>
      <c r="M17" s="95">
        <f>GVT!A9</f>
        <v>53001</v>
      </c>
      <c r="N17" s="84" t="str">
        <f>GVT!B9</f>
        <v>den</v>
      </c>
      <c r="O17" s="95">
        <v>120000</v>
      </c>
      <c r="P17" s="84" t="s">
        <v>79</v>
      </c>
      <c r="Q17" s="88" t="str">
        <f>GVT!E9</f>
        <v>130.000 TL.sı için</v>
      </c>
      <c r="R17" s="85">
        <f>GVT!F9</f>
        <v>9400</v>
      </c>
      <c r="S17" s="84" t="str">
        <f>GVT!G9</f>
        <v>TL. fazlası</v>
      </c>
      <c r="T17" s="86">
        <f>GVT!H9</f>
        <v>0.27</v>
      </c>
    </row>
    <row r="18" spans="1:20" ht="15" customHeight="1">
      <c r="A18" s="48">
        <v>8</v>
      </c>
      <c r="B18" s="98">
        <f>IF('BORDRO (Sayfa-1)'!B18="","",'BORDRO (Sayfa-1)'!B18)</f>
      </c>
      <c r="C18" s="18">
        <f>IF('BORDRO (Sayfa-1)'!U18="",0,'BORDRO (Sayfa-1)'!U18)</f>
        <v>0</v>
      </c>
      <c r="D18" s="18">
        <f>IF('BORDRO (Sayfa-1)'!V18="",0,'BORDRO (Sayfa-1)'!V18)</f>
        <v>0</v>
      </c>
      <c r="E18" s="18">
        <f t="shared" si="0"/>
        <v>0</v>
      </c>
      <c r="F18" s="101">
        <f>IF(OR(E18="",P!$G$13="H"),0,IF(C18&lt;=GVT!$C$7,C18*GVT!$H$7,IF(AND(C18&gt;GVT!$A$8,C18&lt;=GVT!$C$8),(C18-GVT!$C$7)*GVT!$H$8+GVT!$F$8,IF(AND(C18&gt;GVT!$A$9,C18&lt;=GVT!$C$9),((C18-GVT!$C$8)*GVT!$H$9+GVT!$F$9),((C18-GVT!$A$11)*GVT!$H$11+GVT!$F$11)))))</f>
        <v>0</v>
      </c>
      <c r="G18" s="100">
        <f>IF(OR(E18="",P!$G$13="H",E18&gt;$O$15),0,(IF(E18&lt;=GVT!$C$7,E18*GVT!$H$7,IF(AND(E18&gt;GVT!$A$8,E18&lt;=GVT!$C$8),(E18-GVT!$C$7)*GVT!$H$8+GVT!$F$8,IF(AND(E18&gt;GVT!$A$9,E18&lt;=GVT!$C$9),((E18-GVT!$C$8)*GVT!$H$9+GVT!$F$9),((E18-GVT!$A$11)*GVT!$H$11+GVT!$F$11)))))-F18)</f>
        <v>0</v>
      </c>
      <c r="H18" s="100">
        <f>IF(OR(E18="",P!$G$13="H",E18&gt;$O$16,E18&lt;$O$15),0,(IF(E18&lt;=GVT!$C$7,E18*GVT!$H$7,IF(AND(E18&gt;GVT!$A$8,E18&lt;=GVT!$C$8),(E18-GVT!$C$7)*GVT!$H$8+GVT!$F$8,IF(AND(E18&gt;GVT!$A$9,E18&lt;=GVT!$C$9),((E18-GVT!$C$8)*GVT!$H$9+GVT!$F$9),((E18-GVT!$A$11)*GVT!$H$11+GVT!$F$11)))))-F18)</f>
        <v>0</v>
      </c>
      <c r="I18" s="100">
        <f>IF(OR(E18="",E18&gt;$O$17,E18&lt;$O$16),0,(IF(OR(E18="",P!$G$13="H"),0,IF(E18&lt;=GVT!$C$7,E18*GVT!$H$7,IF(AND(E18&gt;GVT!$A$8,E18&lt;=GVT!$C$8),(E18-GVT!$C$7)*GVT!$H$8+GVT!$F$8,IF(AND(E18&gt;GVT!$A$9,E18&lt;=GVT!$C$9),((E18-GVT!$C$8)*GVT!$H$9+GVT!$F$9),((E18-GVT!$A$11)*GVT!$H$11+GVT!$F$11)))))-F18))</f>
        <v>0</v>
      </c>
      <c r="J18" s="100">
        <f>IF(OR(E18="",E18&lt;$M$18),0,(IF(OR(E18="",P!$G$13="H"),0,IF(E18&lt;=GVT!$C$7,E18*GVT!$H$7,IF(AND(E18&gt;GVT!$A$8,E18&lt;=GVT!$C$8),(E18-GVT!$C$7)*GVT!$H$8+GVT!$F$8,IF(AND(E18&gt;GVT!$A$9,E18&lt;=GVT!$C$9),((E18-GVT!$C$8)*GVT!$H$9+GVT!$F$9),((E18-GVT!$A$11)*GVT!$H$11+GVT!$F$11)))))-F18))</f>
        <v>0</v>
      </c>
      <c r="K18" s="102">
        <f t="shared" si="1"/>
        <v>0</v>
      </c>
      <c r="M18" s="95">
        <f>GVT!A10</f>
        <v>190001</v>
      </c>
      <c r="N18" s="84" t="str">
        <f>GVT!B10</f>
        <v>den </v>
      </c>
      <c r="O18" s="95">
        <v>600000</v>
      </c>
      <c r="P18" s="84" t="s">
        <v>79</v>
      </c>
      <c r="Q18" s="88" t="str">
        <f>GVT!E10</f>
        <v>180 000 TL.sı için</v>
      </c>
      <c r="R18" s="85">
        <f>GVT!F10</f>
        <v>46390</v>
      </c>
      <c r="S18" s="84" t="str">
        <f>GVT!G10</f>
        <v>TL. fazlası</v>
      </c>
      <c r="T18" s="86">
        <f>GVT!H10</f>
        <v>0.35</v>
      </c>
    </row>
    <row r="19" spans="1:20" ht="15" customHeight="1">
      <c r="A19" s="48">
        <v>9</v>
      </c>
      <c r="B19" s="98">
        <f>IF('BORDRO (Sayfa-1)'!B19="","",'BORDRO (Sayfa-1)'!B19)</f>
      </c>
      <c r="C19" s="18">
        <f>IF('BORDRO (Sayfa-1)'!U19="",0,'BORDRO (Sayfa-1)'!U19)</f>
        <v>0</v>
      </c>
      <c r="D19" s="18">
        <f>IF('BORDRO (Sayfa-1)'!V19="",0,'BORDRO (Sayfa-1)'!V19)</f>
        <v>0</v>
      </c>
      <c r="E19" s="18">
        <f t="shared" si="0"/>
        <v>0</v>
      </c>
      <c r="F19" s="101">
        <f>IF(OR(E19="",P!$G$13="H"),0,IF(C19&lt;=GVT!$C$7,C19*GVT!$H$7,IF(AND(C19&gt;GVT!$A$8,C19&lt;=GVT!$C$8),(C19-GVT!$C$7)*GVT!$H$8+GVT!$F$8,IF(AND(C19&gt;GVT!$A$9,C19&lt;=GVT!$C$9),((C19-GVT!$C$8)*GVT!$H$9+GVT!$F$9),((C19-GVT!$A$11)*GVT!$H$11+GVT!$F$11)))))</f>
        <v>0</v>
      </c>
      <c r="G19" s="100">
        <f>IF(OR(E19="",P!$G$13="H",E19&gt;$O$15),0,(IF(E19&lt;=GVT!$C$7,E19*GVT!$H$7,IF(AND(E19&gt;GVT!$A$8,E19&lt;=GVT!$C$8),(E19-GVT!$C$7)*GVT!$H$8+GVT!$F$8,IF(AND(E19&gt;GVT!$A$9,E19&lt;=GVT!$C$9),((E19-GVT!$C$8)*GVT!$H$9+GVT!$F$9),((E19-GVT!$A$11)*GVT!$H$11+GVT!$F$11)))))-F19)</f>
        <v>0</v>
      </c>
      <c r="H19" s="100">
        <f>IF(OR(E19="",P!$G$13="H",E19&gt;$O$16,E19&lt;$O$15),0,(IF(E19&lt;=GVT!$C$7,E19*GVT!$H$7,IF(AND(E19&gt;GVT!$A$8,E19&lt;=GVT!$C$8),(E19-GVT!$C$7)*GVT!$H$8+GVT!$F$8,IF(AND(E19&gt;GVT!$A$9,E19&lt;=GVT!$C$9),((E19-GVT!$C$8)*GVT!$H$9+GVT!$F$9),((E19-GVT!$A$11)*GVT!$H$11+GVT!$F$11)))))-F19)</f>
        <v>0</v>
      </c>
      <c r="I19" s="100">
        <f>IF(OR(E19="",E19&gt;$O$17,E19&lt;$O$16),0,(IF(OR(E19="",P!$G$13="H"),0,IF(E19&lt;=GVT!$C$7,E19*GVT!$H$7,IF(AND(E19&gt;GVT!$A$8,E19&lt;=GVT!$C$8),(E19-GVT!$C$7)*GVT!$H$8+GVT!$F$8,IF(AND(E19&gt;GVT!$A$9,E19&lt;=GVT!$C$9),((E19-GVT!$C$8)*GVT!$H$9+GVT!$F$9),((E19-GVT!$A$11)*GVT!$H$11+GVT!$F$11)))))-F19))</f>
        <v>0</v>
      </c>
      <c r="J19" s="100">
        <f>IF(OR(E19="",E19&lt;$M$18),0,(IF(OR(E19="",P!$G$13="H"),0,IF(E19&lt;=GVT!$C$7,E19*GVT!$H$7,IF(AND(E19&gt;GVT!$A$8,E19&lt;=GVT!$C$8),(E19-GVT!$C$7)*GVT!$H$8+GVT!$F$8,IF(AND(E19&gt;GVT!$A$9,E19&lt;=GVT!$C$9),((E19-GVT!$C$8)*GVT!$H$9+GVT!$F$9),((E19-GVT!$A$11)*GVT!$H$11+GVT!$F$11)))))-F19))</f>
        <v>0</v>
      </c>
      <c r="K19" s="102">
        <f t="shared" si="1"/>
        <v>0</v>
      </c>
      <c r="M19" s="95">
        <f>GVT!A11</f>
        <v>650001</v>
      </c>
      <c r="N19" s="313" t="str">
        <f>GVT!B11</f>
        <v>den fazlasının</v>
      </c>
      <c r="O19" s="314"/>
      <c r="P19" s="315"/>
      <c r="Q19" s="88" t="str">
        <f>GVT!E11</f>
        <v>650.000 TL.sı için</v>
      </c>
      <c r="R19" s="85">
        <f>GVT!F11</f>
        <v>207390</v>
      </c>
      <c r="S19" s="84" t="str">
        <f>GVT!G11</f>
        <v>TL. fazlası</v>
      </c>
      <c r="T19" s="86">
        <f>GVT!H11</f>
        <v>0.4</v>
      </c>
    </row>
    <row r="20" spans="1:15" ht="15" customHeight="1">
      <c r="A20" s="48">
        <v>10</v>
      </c>
      <c r="B20" s="98">
        <f>IF('BORDRO (Sayfa-1)'!B20="","",'BORDRO (Sayfa-1)'!B20)</f>
      </c>
      <c r="C20" s="18">
        <f>IF('BORDRO (Sayfa-1)'!U20="",0,'BORDRO (Sayfa-1)'!U20)</f>
        <v>0</v>
      </c>
      <c r="D20" s="18">
        <f>IF('BORDRO (Sayfa-1)'!V20="",0,'BORDRO (Sayfa-1)'!V20)</f>
        <v>0</v>
      </c>
      <c r="E20" s="18">
        <f t="shared" si="0"/>
        <v>0</v>
      </c>
      <c r="F20" s="101">
        <f>IF(OR(E20="",P!$G$13="H"),0,IF(C20&lt;=GVT!$C$7,C20*GVT!$H$7,IF(AND(C20&gt;GVT!$A$8,C20&lt;=GVT!$C$8),(C20-GVT!$C$7)*GVT!$H$8+GVT!$F$8,IF(AND(C20&gt;GVT!$A$9,C20&lt;=GVT!$C$9),((C20-GVT!$C$8)*GVT!$H$9+GVT!$F$9),((C20-GVT!$A$11)*GVT!$H$11+GVT!$F$11)))))</f>
        <v>0</v>
      </c>
      <c r="G20" s="100">
        <f>IF(OR(E20="",P!$G$13="H",E20&gt;$O$15),0,(IF(E20&lt;=GVT!$C$7,E20*GVT!$H$7,IF(AND(E20&gt;GVT!$A$8,E20&lt;=GVT!$C$8),(E20-GVT!$C$7)*GVT!$H$8+GVT!$F$8,IF(AND(E20&gt;GVT!$A$9,E20&lt;=GVT!$C$9),((E20-GVT!$C$8)*GVT!$H$9+GVT!$F$9),((E20-GVT!$A$11)*GVT!$H$11+GVT!$F$11)))))-F20)</f>
        <v>0</v>
      </c>
      <c r="H20" s="100">
        <f>IF(OR(E20="",P!$G$13="H",E20&gt;$O$16,E20&lt;$O$15),0,(IF(E20&lt;=GVT!$C$7,E20*GVT!$H$7,IF(AND(E20&gt;GVT!$A$8,E20&lt;=GVT!$C$8),(E20-GVT!$C$7)*GVT!$H$8+GVT!$F$8,IF(AND(E20&gt;GVT!$A$9,E20&lt;=GVT!$C$9),((E20-GVT!$C$8)*GVT!$H$9+GVT!$F$9),((E20-GVT!$A$11)*GVT!$H$11+GVT!$F$11)))))-F20)</f>
        <v>0</v>
      </c>
      <c r="I20" s="100">
        <f>IF(OR(E20="",E20&gt;$O$17,E20&lt;$O$16),0,(IF(OR(E20="",P!$G$13="H"),0,IF(E20&lt;=GVT!$C$7,E20*GVT!$H$7,IF(AND(E20&gt;GVT!$A$8,E20&lt;=GVT!$C$8),(E20-GVT!$C$7)*GVT!$H$8+GVT!$F$8,IF(AND(E20&gt;GVT!$A$9,E20&lt;=GVT!$C$9),((E20-GVT!$C$8)*GVT!$H$9+GVT!$F$9),((E20-GVT!$A$11)*GVT!$H$11+GVT!$F$11)))))-F20))</f>
        <v>0</v>
      </c>
      <c r="J20" s="100">
        <f>IF(OR(E20="",E20&lt;$M$18),0,(IF(OR(E20="",P!$G$13="H"),0,IF(E20&lt;=GVT!$C$7,E20*GVT!$H$7,IF(AND(E20&gt;GVT!$A$8,E20&lt;=GVT!$C$8),(E20-GVT!$C$7)*GVT!$H$8+GVT!$F$8,IF(AND(E20&gt;GVT!$A$9,E20&lt;=GVT!$C$9),((E20-GVT!$C$8)*GVT!$H$9+GVT!$F$9),((E20-GVT!$A$11)*GVT!$H$11+GVT!$F$11)))))-F20))</f>
        <v>0</v>
      </c>
      <c r="K20" s="102">
        <f t="shared" si="1"/>
        <v>0</v>
      </c>
      <c r="M20" s="1"/>
      <c r="N20" s="99"/>
      <c r="O20" s="97"/>
    </row>
    <row r="21" spans="1:15" ht="15" customHeight="1">
      <c r="A21" s="48">
        <v>11</v>
      </c>
      <c r="B21" s="98">
        <f>IF('BORDRO (Sayfa-1)'!B21="","",'BORDRO (Sayfa-1)'!B21)</f>
      </c>
      <c r="C21" s="18">
        <f>IF('BORDRO (Sayfa-1)'!U21="",0,'BORDRO (Sayfa-1)'!U21)</f>
        <v>0</v>
      </c>
      <c r="D21" s="18">
        <f>IF('BORDRO (Sayfa-1)'!V21="",0,'BORDRO (Sayfa-1)'!V21)</f>
        <v>0</v>
      </c>
      <c r="E21" s="18">
        <f t="shared" si="0"/>
        <v>0</v>
      </c>
      <c r="F21" s="101">
        <f>IF(OR(E21="",P!$G$13="H"),0,IF(C21&lt;=GVT!$C$7,C21*GVT!$H$7,IF(AND(C21&gt;GVT!$A$8,C21&lt;=GVT!$C$8),(C21-GVT!$C$7)*GVT!$H$8+GVT!$F$8,IF(AND(C21&gt;GVT!$A$9,C21&lt;=GVT!$C$9),((C21-GVT!$C$8)*GVT!$H$9+GVT!$F$9),((C21-GVT!$A$11)*GVT!$H$11+GVT!$F$11)))))</f>
        <v>0</v>
      </c>
      <c r="G21" s="100">
        <f>IF(OR(E21="",P!$G$13="H",E21&gt;$O$15),0,(IF(E21&lt;=GVT!$C$7,E21*GVT!$H$7,IF(AND(E21&gt;GVT!$A$8,E21&lt;=GVT!$C$8),(E21-GVT!$C$7)*GVT!$H$8+GVT!$F$8,IF(AND(E21&gt;GVT!$A$9,E21&lt;=GVT!$C$9),((E21-GVT!$C$8)*GVT!$H$9+GVT!$F$9),((E21-GVT!$A$11)*GVT!$H$11+GVT!$F$11)))))-F21)</f>
        <v>0</v>
      </c>
      <c r="H21" s="100">
        <f>IF(OR(E21="",P!$G$13="H",E21&gt;$O$16,E21&lt;$O$15),0,(IF(E21&lt;=GVT!$C$7,E21*GVT!$H$7,IF(AND(E21&gt;GVT!$A$8,E21&lt;=GVT!$C$8),(E21-GVT!$C$7)*GVT!$H$8+GVT!$F$8,IF(AND(E21&gt;GVT!$A$9,E21&lt;=GVT!$C$9),((E21-GVT!$C$8)*GVT!$H$9+GVT!$F$9),((E21-GVT!$A$11)*GVT!$H$11+GVT!$F$11)))))-F21)</f>
        <v>0</v>
      </c>
      <c r="I21" s="100">
        <f>IF(OR(E21="",E21&gt;$O$17,E21&lt;$O$16),0,(IF(OR(E21="",P!$G$13="H"),0,IF(E21&lt;=GVT!$C$7,E21*GVT!$H$7,IF(AND(E21&gt;GVT!$A$8,E21&lt;=GVT!$C$8),(E21-GVT!$C$7)*GVT!$H$8+GVT!$F$8,IF(AND(E21&gt;GVT!$A$9,E21&lt;=GVT!$C$9),((E21-GVT!$C$8)*GVT!$H$9+GVT!$F$9),((E21-GVT!$A$11)*GVT!$H$11+GVT!$F$11)))))-F21))</f>
        <v>0</v>
      </c>
      <c r="J21" s="100">
        <f>IF(OR(E21="",E21&lt;$M$18),0,(IF(OR(E21="",P!$G$13="H"),0,IF(E21&lt;=GVT!$C$7,E21*GVT!$H$7,IF(AND(E21&gt;GVT!$A$8,E21&lt;=GVT!$C$8),(E21-GVT!$C$7)*GVT!$H$8+GVT!$F$8,IF(AND(E21&gt;GVT!$A$9,E21&lt;=GVT!$C$9),((E21-GVT!$C$8)*GVT!$H$9+GVT!$F$9),((E21-GVT!$A$11)*GVT!$H$11+GVT!$F$11)))))-F21))</f>
        <v>0</v>
      </c>
      <c r="K21" s="102">
        <f t="shared" si="1"/>
        <v>0</v>
      </c>
      <c r="M21" s="1"/>
      <c r="N21" s="99"/>
      <c r="O21" s="97"/>
    </row>
    <row r="22" spans="1:15" ht="15" customHeight="1">
      <c r="A22" s="48">
        <v>12</v>
      </c>
      <c r="B22" s="98">
        <f>IF('BORDRO (Sayfa-1)'!B22="","",'BORDRO (Sayfa-1)'!B22)</f>
      </c>
      <c r="C22" s="18">
        <f>IF('BORDRO (Sayfa-1)'!U22="",0,'BORDRO (Sayfa-1)'!U22)</f>
        <v>0</v>
      </c>
      <c r="D22" s="18">
        <f>IF('BORDRO (Sayfa-1)'!V22="",0,'BORDRO (Sayfa-1)'!V22)</f>
        <v>0</v>
      </c>
      <c r="E22" s="18">
        <f t="shared" si="0"/>
        <v>0</v>
      </c>
      <c r="F22" s="101">
        <f>IF(OR(E22="",P!$G$13="H"),0,IF(C22&lt;=GVT!$C$7,C22*GVT!$H$7,IF(AND(C22&gt;GVT!$A$8,C22&lt;=GVT!$C$8),(C22-GVT!$C$7)*GVT!$H$8+GVT!$F$8,IF(AND(C22&gt;GVT!$A$9,C22&lt;=GVT!$C$9),((C22-GVT!$C$8)*GVT!$H$9+GVT!$F$9),((C22-GVT!$A$11)*GVT!$H$11+GVT!$F$11)))))</f>
        <v>0</v>
      </c>
      <c r="G22" s="100">
        <f>IF(OR(E22="",P!$G$13="H",E22&gt;$O$15),0,(IF(E22&lt;=GVT!$C$7,E22*GVT!$H$7,IF(AND(E22&gt;GVT!$A$8,E22&lt;=GVT!$C$8),(E22-GVT!$C$7)*GVT!$H$8+GVT!$F$8,IF(AND(E22&gt;GVT!$A$9,E22&lt;=GVT!$C$9),((E22-GVT!$C$8)*GVT!$H$9+GVT!$F$9),((E22-GVT!$A$11)*GVT!$H$11+GVT!$F$11)))))-F22)</f>
        <v>0</v>
      </c>
      <c r="H22" s="100">
        <f>IF(OR(E22="",P!$G$13="H",E22&gt;$O$16,E22&lt;$O$15),0,(IF(E22&lt;=GVT!$C$7,E22*GVT!$H$7,IF(AND(E22&gt;GVT!$A$8,E22&lt;=GVT!$C$8),(E22-GVT!$C$7)*GVT!$H$8+GVT!$F$8,IF(AND(E22&gt;GVT!$A$9,E22&lt;=GVT!$C$9),((E22-GVT!$C$8)*GVT!$H$9+GVT!$F$9),((E22-GVT!$A$11)*GVT!$H$11+GVT!$F$11)))))-F22)</f>
        <v>0</v>
      </c>
      <c r="I22" s="100">
        <f>IF(OR(E22="",E22&gt;$O$17,E22&lt;$O$16),0,(IF(OR(E22="",P!$G$13="H"),0,IF(E22&lt;=GVT!$C$7,E22*GVT!$H$7,IF(AND(E22&gt;GVT!$A$8,E22&lt;=GVT!$C$8),(E22-GVT!$C$7)*GVT!$H$8+GVT!$F$8,IF(AND(E22&gt;GVT!$A$9,E22&lt;=GVT!$C$9),((E22-GVT!$C$8)*GVT!$H$9+GVT!$F$9),((E22-GVT!$A$11)*GVT!$H$11+GVT!$F$11)))))-F22))</f>
        <v>0</v>
      </c>
      <c r="J22" s="100">
        <f>IF(OR(E22="",E22&lt;$M$18),0,(IF(OR(E22="",P!$G$13="H"),0,IF(E22&lt;=GVT!$C$7,E22*GVT!$H$7,IF(AND(E22&gt;GVT!$A$8,E22&lt;=GVT!$C$8),(E22-GVT!$C$7)*GVT!$H$8+GVT!$F$8,IF(AND(E22&gt;GVT!$A$9,E22&lt;=GVT!$C$9),((E22-GVT!$C$8)*GVT!$H$9+GVT!$F$9),((E22-GVT!$A$11)*GVT!$H$11+GVT!$F$11)))))-F22))</f>
        <v>0</v>
      </c>
      <c r="K22" s="102">
        <f t="shared" si="1"/>
        <v>0</v>
      </c>
      <c r="M22" s="1"/>
      <c r="N22" s="99"/>
      <c r="O22" s="97"/>
    </row>
    <row r="23" spans="1:15" ht="15" customHeight="1">
      <c r="A23" s="48">
        <v>13</v>
      </c>
      <c r="B23" s="98">
        <f>IF('BORDRO (Sayfa-1)'!B23="","",'BORDRO (Sayfa-1)'!B23)</f>
      </c>
      <c r="C23" s="18">
        <f>IF('BORDRO (Sayfa-1)'!U23="",0,'BORDRO (Sayfa-1)'!U23)</f>
        <v>0</v>
      </c>
      <c r="D23" s="18">
        <f>IF('BORDRO (Sayfa-1)'!V23="",0,'BORDRO (Sayfa-1)'!V23)</f>
        <v>0</v>
      </c>
      <c r="E23" s="18">
        <f t="shared" si="0"/>
        <v>0</v>
      </c>
      <c r="F23" s="101">
        <f>IF(OR(E23="",P!$G$13="H"),0,IF(C23&lt;=GVT!$C$7,C23*GVT!$H$7,IF(AND(C23&gt;GVT!$A$8,C23&lt;=GVT!$C$8),(C23-GVT!$C$7)*GVT!$H$8+GVT!$F$8,IF(AND(C23&gt;GVT!$A$9,C23&lt;=GVT!$C$9),((C23-GVT!$C$8)*GVT!$H$9+GVT!$F$9),((C23-GVT!$A$11)*GVT!$H$11+GVT!$F$11)))))</f>
        <v>0</v>
      </c>
      <c r="G23" s="100">
        <f>IF(OR(E23="",P!$G$13="H",E23&gt;$O$15),0,(IF(E23&lt;=GVT!$C$7,E23*GVT!$H$7,IF(AND(E23&gt;GVT!$A$8,E23&lt;=GVT!$C$8),(E23-GVT!$C$7)*GVT!$H$8+GVT!$F$8,IF(AND(E23&gt;GVT!$A$9,E23&lt;=GVT!$C$9),((E23-GVT!$C$8)*GVT!$H$9+GVT!$F$9),((E23-GVT!$A$11)*GVT!$H$11+GVT!$F$11)))))-F23)</f>
        <v>0</v>
      </c>
      <c r="H23" s="100">
        <f>IF(OR(E23="",P!$G$13="H",E23&gt;$O$16,E23&lt;$O$15),0,(IF(E23&lt;=GVT!$C$7,E23*GVT!$H$7,IF(AND(E23&gt;GVT!$A$8,E23&lt;=GVT!$C$8),(E23-GVT!$C$7)*GVT!$H$8+GVT!$F$8,IF(AND(E23&gt;GVT!$A$9,E23&lt;=GVT!$C$9),((E23-GVT!$C$8)*GVT!$H$9+GVT!$F$9),((E23-GVT!$A$11)*GVT!$H$11+GVT!$F$11)))))-F23)</f>
        <v>0</v>
      </c>
      <c r="I23" s="100">
        <f>IF(OR(E23="",E23&gt;$O$17,E23&lt;$O$16),0,(IF(OR(E23="",P!$G$13="H"),0,IF(E23&lt;=GVT!$C$7,E23*GVT!$H$7,IF(AND(E23&gt;GVT!$A$8,E23&lt;=GVT!$C$8),(E23-GVT!$C$7)*GVT!$H$8+GVT!$F$8,IF(AND(E23&gt;GVT!$A$9,E23&lt;=GVT!$C$9),((E23-GVT!$C$8)*GVT!$H$9+GVT!$F$9),((E23-GVT!$A$11)*GVT!$H$11+GVT!$F$11)))))-F23))</f>
        <v>0</v>
      </c>
      <c r="J23" s="100">
        <f>IF(OR(E23="",E23&lt;$M$18),0,(IF(OR(E23="",P!$G$13="H"),0,IF(E23&lt;=GVT!$C$7,E23*GVT!$H$7,IF(AND(E23&gt;GVT!$A$8,E23&lt;=GVT!$C$8),(E23-GVT!$C$7)*GVT!$H$8+GVT!$F$8,IF(AND(E23&gt;GVT!$A$9,E23&lt;=GVT!$C$9),((E23-GVT!$C$8)*GVT!$H$9+GVT!$F$9),((E23-GVT!$A$11)*GVT!$H$11+GVT!$F$11)))))-F23))</f>
        <v>0</v>
      </c>
      <c r="K23" s="102">
        <f t="shared" si="1"/>
        <v>0</v>
      </c>
      <c r="M23" s="1"/>
      <c r="N23" s="99"/>
      <c r="O23" s="97"/>
    </row>
    <row r="24" spans="1:15" ht="15" customHeight="1">
      <c r="A24" s="48">
        <v>14</v>
      </c>
      <c r="B24" s="98">
        <f>IF('BORDRO (Sayfa-1)'!B24="","",'BORDRO (Sayfa-1)'!B24)</f>
      </c>
      <c r="C24" s="18">
        <f>IF('BORDRO (Sayfa-1)'!U24="",0,'BORDRO (Sayfa-1)'!U24)</f>
        <v>0</v>
      </c>
      <c r="D24" s="18">
        <f>IF('BORDRO (Sayfa-1)'!V24="",0,'BORDRO (Sayfa-1)'!V24)</f>
        <v>0</v>
      </c>
      <c r="E24" s="18">
        <f t="shared" si="0"/>
        <v>0</v>
      </c>
      <c r="F24" s="101">
        <f>IF(OR(E24="",P!$G$13="H"),0,IF(C24&lt;=GVT!$C$7,C24*GVT!$H$7,IF(AND(C24&gt;GVT!$A$8,C24&lt;=GVT!$C$8),(C24-GVT!$C$7)*GVT!$H$8+GVT!$F$8,IF(AND(C24&gt;GVT!$A$9,C24&lt;=GVT!$C$9),((C24-GVT!$C$8)*GVT!$H$9+GVT!$F$9),((C24-GVT!$A$11)*GVT!$H$11+GVT!$F$11)))))</f>
        <v>0</v>
      </c>
      <c r="G24" s="100">
        <f>IF(OR(E24="",P!$G$13="H",E24&gt;$O$15),0,(IF(E24&lt;=GVT!$C$7,E24*GVT!$H$7,IF(AND(E24&gt;GVT!$A$8,E24&lt;=GVT!$C$8),(E24-GVT!$C$7)*GVT!$H$8+GVT!$F$8,IF(AND(E24&gt;GVT!$A$9,E24&lt;=GVT!$C$9),((E24-GVT!$C$8)*GVT!$H$9+GVT!$F$9),((E24-GVT!$A$11)*GVT!$H$11+GVT!$F$11)))))-F24)</f>
        <v>0</v>
      </c>
      <c r="H24" s="100">
        <f>IF(OR(E24="",P!$G$13="H",E24&gt;$O$16,E24&lt;$O$15),0,(IF(E24&lt;=GVT!$C$7,E24*GVT!$H$7,IF(AND(E24&gt;GVT!$A$8,E24&lt;=GVT!$C$8),(E24-GVT!$C$7)*GVT!$H$8+GVT!$F$8,IF(AND(E24&gt;GVT!$A$9,E24&lt;=GVT!$C$9),((E24-GVT!$C$8)*GVT!$H$9+GVT!$F$9),((E24-GVT!$A$11)*GVT!$H$11+GVT!$F$11)))))-F24)</f>
        <v>0</v>
      </c>
      <c r="I24" s="100">
        <f>IF(OR(E24="",E24&gt;$O$17,E24&lt;$O$16),0,(IF(OR(E24="",P!$G$13="H"),0,IF(E24&lt;=GVT!$C$7,E24*GVT!$H$7,IF(AND(E24&gt;GVT!$A$8,E24&lt;=GVT!$C$8),(E24-GVT!$C$7)*GVT!$H$8+GVT!$F$8,IF(AND(E24&gt;GVT!$A$9,E24&lt;=GVT!$C$9),((E24-GVT!$C$8)*GVT!$H$9+GVT!$F$9),((E24-GVT!$A$11)*GVT!$H$11+GVT!$F$11)))))-F24))</f>
        <v>0</v>
      </c>
      <c r="J24" s="100">
        <f>IF(OR(E24="",E24&lt;$M$18),0,(IF(OR(E24="",P!$G$13="H"),0,IF(E24&lt;=GVT!$C$7,E24*GVT!$H$7,IF(AND(E24&gt;GVT!$A$8,E24&lt;=GVT!$C$8),(E24-GVT!$C$7)*GVT!$H$8+GVT!$F$8,IF(AND(E24&gt;GVT!$A$9,E24&lt;=GVT!$C$9),((E24-GVT!$C$8)*GVT!$H$9+GVT!$F$9),((E24-GVT!$A$11)*GVT!$H$11+GVT!$F$11)))))-F24))</f>
        <v>0</v>
      </c>
      <c r="K24" s="102">
        <f t="shared" si="1"/>
        <v>0</v>
      </c>
      <c r="M24" s="1"/>
      <c r="N24" s="99"/>
      <c r="O24" s="97"/>
    </row>
    <row r="25" spans="1:15" ht="15" customHeight="1">
      <c r="A25" s="48">
        <v>15</v>
      </c>
      <c r="B25" s="98">
        <f>IF('BORDRO (Sayfa-1)'!B25="","",'BORDRO (Sayfa-1)'!B25)</f>
      </c>
      <c r="C25" s="18">
        <f>IF('BORDRO (Sayfa-1)'!U25="",0,'BORDRO (Sayfa-1)'!U25)</f>
        <v>0</v>
      </c>
      <c r="D25" s="18">
        <f>IF('BORDRO (Sayfa-1)'!V25="",0,'BORDRO (Sayfa-1)'!V25)</f>
        <v>0</v>
      </c>
      <c r="E25" s="18">
        <f t="shared" si="0"/>
        <v>0</v>
      </c>
      <c r="F25" s="101">
        <f>IF(OR(E25="",P!$G$13="H"),0,IF(C25&lt;=GVT!$C$7,C25*GVT!$H$7,IF(AND(C25&gt;GVT!$A$8,C25&lt;=GVT!$C$8),(C25-GVT!$C$7)*GVT!$H$8+GVT!$F$8,IF(AND(C25&gt;GVT!$A$9,C25&lt;=GVT!$C$9),((C25-GVT!$C$8)*GVT!$H$9+GVT!$F$9),((C25-GVT!$A$11)*GVT!$H$11+GVT!$F$11)))))</f>
        <v>0</v>
      </c>
      <c r="G25" s="100">
        <f>IF(OR(E25="",P!$G$13="H",E25&gt;$O$15),0,(IF(E25&lt;=GVT!$C$7,E25*GVT!$H$7,IF(AND(E25&gt;GVT!$A$8,E25&lt;=GVT!$C$8),(E25-GVT!$C$7)*GVT!$H$8+GVT!$F$8,IF(AND(E25&gt;GVT!$A$9,E25&lt;=GVT!$C$9),((E25-GVT!$C$8)*GVT!$H$9+GVT!$F$9),((E25-GVT!$A$11)*GVT!$H$11+GVT!$F$11)))))-F25)</f>
        <v>0</v>
      </c>
      <c r="H25" s="100">
        <f>IF(OR(E25="",P!$G$13="H",E25&gt;$O$16,E25&lt;$O$15),0,(IF(E25&lt;=GVT!$C$7,E25*GVT!$H$7,IF(AND(E25&gt;GVT!$A$8,E25&lt;=GVT!$C$8),(E25-GVT!$C$7)*GVT!$H$8+GVT!$F$8,IF(AND(E25&gt;GVT!$A$9,E25&lt;=GVT!$C$9),((E25-GVT!$C$8)*GVT!$H$9+GVT!$F$9),((E25-GVT!$A$11)*GVT!$H$11+GVT!$F$11)))))-F25)</f>
        <v>0</v>
      </c>
      <c r="I25" s="100">
        <f>IF(OR(E25="",E25&gt;$O$17,E25&lt;$O$16),0,(IF(OR(E25="",P!$G$13="H"),0,IF(E25&lt;=GVT!$C$7,E25*GVT!$H$7,IF(AND(E25&gt;GVT!$A$8,E25&lt;=GVT!$C$8),(E25-GVT!$C$7)*GVT!$H$8+GVT!$F$8,IF(AND(E25&gt;GVT!$A$9,E25&lt;=GVT!$C$9),((E25-GVT!$C$8)*GVT!$H$9+GVT!$F$9),((E25-GVT!$A$11)*GVT!$H$11+GVT!$F$11)))))-F25))</f>
        <v>0</v>
      </c>
      <c r="J25" s="100">
        <f>IF(OR(E25="",E25&lt;$M$18),0,(IF(OR(E25="",P!$G$13="H"),0,IF(E25&lt;=GVT!$C$7,E25*GVT!$H$7,IF(AND(E25&gt;GVT!$A$8,E25&lt;=GVT!$C$8),(E25-GVT!$C$7)*GVT!$H$8+GVT!$F$8,IF(AND(E25&gt;GVT!$A$9,E25&lt;=GVT!$C$9),((E25-GVT!$C$8)*GVT!$H$9+GVT!$F$9),((E25-GVT!$A$11)*GVT!$H$11+GVT!$F$11)))))-F25))</f>
        <v>0</v>
      </c>
      <c r="K25" s="102">
        <f t="shared" si="1"/>
        <v>0</v>
      </c>
      <c r="M25" s="1"/>
      <c r="N25" s="99"/>
      <c r="O25" s="97"/>
    </row>
    <row r="26" spans="1:15" ht="15" customHeight="1">
      <c r="A26" s="48">
        <v>16</v>
      </c>
      <c r="B26" s="98">
        <f>IF('BORDRO (Sayfa-1)'!B26="","",'BORDRO (Sayfa-1)'!B26)</f>
      </c>
      <c r="C26" s="18">
        <f>IF('BORDRO (Sayfa-1)'!U26="",0,'BORDRO (Sayfa-1)'!U26)</f>
        <v>0</v>
      </c>
      <c r="D26" s="18">
        <f>IF('BORDRO (Sayfa-1)'!V26="",0,'BORDRO (Sayfa-1)'!V26)</f>
        <v>0</v>
      </c>
      <c r="E26" s="18">
        <f t="shared" si="0"/>
        <v>0</v>
      </c>
      <c r="F26" s="101">
        <f>IF(OR(E26="",P!$G$13="H"),0,IF(C26&lt;=GVT!$C$7,C26*GVT!$H$7,IF(AND(C26&gt;GVT!$A$8,C26&lt;=GVT!$C$8),(C26-GVT!$C$7)*GVT!$H$8+GVT!$F$8,IF(AND(C26&gt;GVT!$A$9,C26&lt;=GVT!$C$9),((C26-GVT!$C$8)*GVT!$H$9+GVT!$F$9),((C26-GVT!$A$11)*GVT!$H$11+GVT!$F$11)))))</f>
        <v>0</v>
      </c>
      <c r="G26" s="100">
        <f>IF(OR(E26="",P!$G$13="H",E26&gt;$O$15),0,(IF(E26&lt;=GVT!$C$7,E26*GVT!$H$7,IF(AND(E26&gt;GVT!$A$8,E26&lt;=GVT!$C$8),(E26-GVT!$C$7)*GVT!$H$8+GVT!$F$8,IF(AND(E26&gt;GVT!$A$9,E26&lt;=GVT!$C$9),((E26-GVT!$C$8)*GVT!$H$9+GVT!$F$9),((E26-GVT!$A$11)*GVT!$H$11+GVT!$F$11)))))-F26)</f>
        <v>0</v>
      </c>
      <c r="H26" s="100">
        <f>IF(OR(E26="",P!$G$13="H",E26&gt;$O$16,E26&lt;$O$15),0,(IF(E26&lt;=GVT!$C$7,E26*GVT!$H$7,IF(AND(E26&gt;GVT!$A$8,E26&lt;=GVT!$C$8),(E26-GVT!$C$7)*GVT!$H$8+GVT!$F$8,IF(AND(E26&gt;GVT!$A$9,E26&lt;=GVT!$C$9),((E26-GVT!$C$8)*GVT!$H$9+GVT!$F$9),((E26-GVT!$A$11)*GVT!$H$11+GVT!$F$11)))))-F26)</f>
        <v>0</v>
      </c>
      <c r="I26" s="100">
        <f>IF(OR(E26="",E26&gt;$O$17,E26&lt;$O$16),0,(IF(OR(E26="",P!$G$13="H"),0,IF(E26&lt;=GVT!$C$7,E26*GVT!$H$7,IF(AND(E26&gt;GVT!$A$8,E26&lt;=GVT!$C$8),(E26-GVT!$C$7)*GVT!$H$8+GVT!$F$8,IF(AND(E26&gt;GVT!$A$9,E26&lt;=GVT!$C$9),((E26-GVT!$C$8)*GVT!$H$9+GVT!$F$9),((E26-GVT!$A$11)*GVT!$H$11+GVT!$F$11)))))-F26))</f>
        <v>0</v>
      </c>
      <c r="J26" s="100">
        <f>IF(OR(E26="",E26&lt;$M$18),0,(IF(OR(E26="",P!$G$13="H"),0,IF(E26&lt;=GVT!$C$7,E26*GVT!$H$7,IF(AND(E26&gt;GVT!$A$8,E26&lt;=GVT!$C$8),(E26-GVT!$C$7)*GVT!$H$8+GVT!$F$8,IF(AND(E26&gt;GVT!$A$9,E26&lt;=GVT!$C$9),((E26-GVT!$C$8)*GVT!$H$9+GVT!$F$9),((E26-GVT!$A$11)*GVT!$H$11+GVT!$F$11)))))-F26))</f>
        <v>0</v>
      </c>
      <c r="K26" s="102">
        <f t="shared" si="1"/>
        <v>0</v>
      </c>
      <c r="M26" s="1"/>
      <c r="N26" s="99"/>
      <c r="O26" s="97"/>
    </row>
    <row r="27" spans="1:15" ht="15" customHeight="1">
      <c r="A27" s="48">
        <v>17</v>
      </c>
      <c r="B27" s="98">
        <f>IF('BORDRO (Sayfa-1)'!B27="","",'BORDRO (Sayfa-1)'!B27)</f>
      </c>
      <c r="C27" s="18">
        <f>IF('BORDRO (Sayfa-1)'!U27="",0,'BORDRO (Sayfa-1)'!U27)</f>
        <v>0</v>
      </c>
      <c r="D27" s="18">
        <f>IF('BORDRO (Sayfa-1)'!V27="",0,'BORDRO (Sayfa-1)'!V27)</f>
        <v>0</v>
      </c>
      <c r="E27" s="18">
        <f t="shared" si="0"/>
        <v>0</v>
      </c>
      <c r="F27" s="101">
        <f>IF(OR(E27="",P!$G$13="H"),0,IF(C27&lt;=GVT!$C$7,C27*GVT!$H$7,IF(AND(C27&gt;GVT!$A$8,C27&lt;=GVT!$C$8),(C27-GVT!$C$7)*GVT!$H$8+GVT!$F$8,IF(AND(C27&gt;GVT!$A$9,C27&lt;=GVT!$C$9),((C27-GVT!$C$8)*GVT!$H$9+GVT!$F$9),((C27-GVT!$A$11)*GVT!$H$11+GVT!$F$11)))))</f>
        <v>0</v>
      </c>
      <c r="G27" s="100">
        <f>IF(OR(E27="",P!$G$13="H",E27&gt;$O$15),0,(IF(E27&lt;=GVT!$C$7,E27*GVT!$H$7,IF(AND(E27&gt;GVT!$A$8,E27&lt;=GVT!$C$8),(E27-GVT!$C$7)*GVT!$H$8+GVT!$F$8,IF(AND(E27&gt;GVT!$A$9,E27&lt;=GVT!$C$9),((E27-GVT!$C$8)*GVT!$H$9+GVT!$F$9),((E27-GVT!$A$11)*GVT!$H$11+GVT!$F$11)))))-F27)</f>
        <v>0</v>
      </c>
      <c r="H27" s="100">
        <f>IF(OR(E27="",P!$G$13="H",E27&gt;$O$16,E27&lt;$O$15),0,(IF(E27&lt;=GVT!$C$7,E27*GVT!$H$7,IF(AND(E27&gt;GVT!$A$8,E27&lt;=GVT!$C$8),(E27-GVT!$C$7)*GVT!$H$8+GVT!$F$8,IF(AND(E27&gt;GVT!$A$9,E27&lt;=GVT!$C$9),((E27-GVT!$C$8)*GVT!$H$9+GVT!$F$9),((E27-GVT!$A$11)*GVT!$H$11+GVT!$F$11)))))-F27)</f>
        <v>0</v>
      </c>
      <c r="I27" s="100">
        <f>IF(OR(E27="",E27&gt;$O$17,E27&lt;$O$16),0,(IF(OR(E27="",P!$G$13="H"),0,IF(E27&lt;=GVT!$C$7,E27*GVT!$H$7,IF(AND(E27&gt;GVT!$A$8,E27&lt;=GVT!$C$8),(E27-GVT!$C$7)*GVT!$H$8+GVT!$F$8,IF(AND(E27&gt;GVT!$A$9,E27&lt;=GVT!$C$9),((E27-GVT!$C$8)*GVT!$H$9+GVT!$F$9),((E27-GVT!$A$11)*GVT!$H$11+GVT!$F$11)))))-F27))</f>
        <v>0</v>
      </c>
      <c r="J27" s="100">
        <f>IF(OR(E27="",E27&lt;$M$18),0,(IF(OR(E27="",P!$G$13="H"),0,IF(E27&lt;=GVT!$C$7,E27*GVT!$H$7,IF(AND(E27&gt;GVT!$A$8,E27&lt;=GVT!$C$8),(E27-GVT!$C$7)*GVT!$H$8+GVT!$F$8,IF(AND(E27&gt;GVT!$A$9,E27&lt;=GVT!$C$9),((E27-GVT!$C$8)*GVT!$H$9+GVT!$F$9),((E27-GVT!$A$11)*GVT!$H$11+GVT!$F$11)))))-F27))</f>
        <v>0</v>
      </c>
      <c r="K27" s="102">
        <f t="shared" si="1"/>
        <v>0</v>
      </c>
      <c r="M27" s="1"/>
      <c r="N27" s="99"/>
      <c r="O27" s="97"/>
    </row>
    <row r="28" spans="1:15" ht="15" customHeight="1">
      <c r="A28" s="48">
        <v>18</v>
      </c>
      <c r="B28" s="98">
        <f>IF('BORDRO (Sayfa-1)'!B28="","",'BORDRO (Sayfa-1)'!B28)</f>
      </c>
      <c r="C28" s="18">
        <f>IF('BORDRO (Sayfa-1)'!U28="",0,'BORDRO (Sayfa-1)'!U28)</f>
        <v>0</v>
      </c>
      <c r="D28" s="18">
        <f>IF('BORDRO (Sayfa-1)'!V28="",0,'BORDRO (Sayfa-1)'!V28)</f>
        <v>0</v>
      </c>
      <c r="E28" s="18">
        <f t="shared" si="0"/>
        <v>0</v>
      </c>
      <c r="F28" s="101">
        <f>IF(OR(E28="",P!$G$13="H"),0,IF(C28&lt;=GVT!$C$7,C28*GVT!$H$7,IF(AND(C28&gt;GVT!$A$8,C28&lt;=GVT!$C$8),(C28-GVT!$C$7)*GVT!$H$8+GVT!$F$8,IF(AND(C28&gt;GVT!$A$9,C28&lt;=GVT!$C$9),((C28-GVT!$C$8)*GVT!$H$9+GVT!$F$9),((C28-GVT!$A$11)*GVT!$H$11+GVT!$F$11)))))</f>
        <v>0</v>
      </c>
      <c r="G28" s="100">
        <f>IF(OR(E28="",P!$G$13="H",E28&gt;$O$15),0,(IF(E28&lt;=GVT!$C$7,E28*GVT!$H$7,IF(AND(E28&gt;GVT!$A$8,E28&lt;=GVT!$C$8),(E28-GVT!$C$7)*GVT!$H$8+GVT!$F$8,IF(AND(E28&gt;GVT!$A$9,E28&lt;=GVT!$C$9),((E28-GVT!$C$8)*GVT!$H$9+GVT!$F$9),((E28-GVT!$A$11)*GVT!$H$11+GVT!$F$11)))))-F28)</f>
        <v>0</v>
      </c>
      <c r="H28" s="100">
        <f>IF(OR(E28="",P!$G$13="H",E28&gt;$O$16,E28&lt;$O$15),0,(IF(E28&lt;=GVT!$C$7,E28*GVT!$H$7,IF(AND(E28&gt;GVT!$A$8,E28&lt;=GVT!$C$8),(E28-GVT!$C$7)*GVT!$H$8+GVT!$F$8,IF(AND(E28&gt;GVT!$A$9,E28&lt;=GVT!$C$9),((E28-GVT!$C$8)*GVT!$H$9+GVT!$F$9),((E28-GVT!$A$11)*GVT!$H$11+GVT!$F$11)))))-F28)</f>
        <v>0</v>
      </c>
      <c r="I28" s="100">
        <f>IF(OR(E28="",E28&gt;$O$17,E28&lt;$O$16),0,(IF(OR(E28="",P!$G$13="H"),0,IF(E28&lt;=GVT!$C$7,E28*GVT!$H$7,IF(AND(E28&gt;GVT!$A$8,E28&lt;=GVT!$C$8),(E28-GVT!$C$7)*GVT!$H$8+GVT!$F$8,IF(AND(E28&gt;GVT!$A$9,E28&lt;=GVT!$C$9),((E28-GVT!$C$8)*GVT!$H$9+GVT!$F$9),((E28-GVT!$A$11)*GVT!$H$11+GVT!$F$11)))))-F28))</f>
        <v>0</v>
      </c>
      <c r="J28" s="100">
        <f>IF(OR(E28="",E28&lt;$M$18),0,(IF(OR(E28="",P!$G$13="H"),0,IF(E28&lt;=GVT!$C$7,E28*GVT!$H$7,IF(AND(E28&gt;GVT!$A$8,E28&lt;=GVT!$C$8),(E28-GVT!$C$7)*GVT!$H$8+GVT!$F$8,IF(AND(E28&gt;GVT!$A$9,E28&lt;=GVT!$C$9),((E28-GVT!$C$8)*GVT!$H$9+GVT!$F$9),((E28-GVT!$A$11)*GVT!$H$11+GVT!$F$11)))))-F28))</f>
        <v>0</v>
      </c>
      <c r="K28" s="102">
        <f t="shared" si="1"/>
        <v>0</v>
      </c>
      <c r="M28" s="1"/>
      <c r="N28" s="99"/>
      <c r="O28" s="97"/>
    </row>
    <row r="29" spans="1:15" ht="15" customHeight="1">
      <c r="A29" s="48">
        <v>19</v>
      </c>
      <c r="B29" s="98">
        <f>IF('BORDRO (Sayfa-1)'!B29="","",'BORDRO (Sayfa-1)'!B29)</f>
      </c>
      <c r="C29" s="18">
        <f>IF('BORDRO (Sayfa-1)'!U29="",0,'BORDRO (Sayfa-1)'!U29)</f>
        <v>0</v>
      </c>
      <c r="D29" s="18">
        <f>IF('BORDRO (Sayfa-1)'!V29="",0,'BORDRO (Sayfa-1)'!V29)</f>
        <v>0</v>
      </c>
      <c r="E29" s="18">
        <f t="shared" si="0"/>
        <v>0</v>
      </c>
      <c r="F29" s="101">
        <f>IF(OR(E29="",P!$G$13="H"),0,IF(C29&lt;=GVT!$C$7,C29*GVT!$H$7,IF(AND(C29&gt;GVT!$A$8,C29&lt;=GVT!$C$8),(C29-GVT!$C$7)*GVT!$H$8+GVT!$F$8,IF(AND(C29&gt;GVT!$A$9,C29&lt;=GVT!$C$9),((C29-GVT!$C$8)*GVT!$H$9+GVT!$F$9),((C29-GVT!$A$11)*GVT!$H$11+GVT!$F$11)))))</f>
        <v>0</v>
      </c>
      <c r="G29" s="100">
        <f>IF(OR(E29="",P!$G$13="H",E29&gt;$O$15),0,(IF(E29&lt;=GVT!$C$7,E29*GVT!$H$7,IF(AND(E29&gt;GVT!$A$8,E29&lt;=GVT!$C$8),(E29-GVT!$C$7)*GVT!$H$8+GVT!$F$8,IF(AND(E29&gt;GVT!$A$9,E29&lt;=GVT!$C$9),((E29-GVT!$C$8)*GVT!$H$9+GVT!$F$9),((E29-GVT!$A$11)*GVT!$H$11+GVT!$F$11)))))-F29)</f>
        <v>0</v>
      </c>
      <c r="H29" s="100">
        <f>IF(OR(E29="",P!$G$13="H",E29&gt;$O$16,E29&lt;$O$15),0,(IF(E29&lt;=GVT!$C$7,E29*GVT!$H$7,IF(AND(E29&gt;GVT!$A$8,E29&lt;=GVT!$C$8),(E29-GVT!$C$7)*GVT!$H$8+GVT!$F$8,IF(AND(E29&gt;GVT!$A$9,E29&lt;=GVT!$C$9),((E29-GVT!$C$8)*GVT!$H$9+GVT!$F$9),((E29-GVT!$A$11)*GVT!$H$11+GVT!$F$11)))))-F29)</f>
        <v>0</v>
      </c>
      <c r="I29" s="100">
        <f>IF(OR(E29="",E29&gt;$O$17,E29&lt;$O$16),0,(IF(OR(E29="",P!$G$13="H"),0,IF(E29&lt;=GVT!$C$7,E29*GVT!$H$7,IF(AND(E29&gt;GVT!$A$8,E29&lt;=GVT!$C$8),(E29-GVT!$C$7)*GVT!$H$8+GVT!$F$8,IF(AND(E29&gt;GVT!$A$9,E29&lt;=GVT!$C$9),((E29-GVT!$C$8)*GVT!$H$9+GVT!$F$9),((E29-GVT!$A$11)*GVT!$H$11+GVT!$F$11)))))-F29))</f>
        <v>0</v>
      </c>
      <c r="J29" s="100">
        <f>IF(OR(E29="",E29&lt;$M$18),0,(IF(OR(E29="",P!$G$13="H"),0,IF(E29&lt;=GVT!$C$7,E29*GVT!$H$7,IF(AND(E29&gt;GVT!$A$8,E29&lt;=GVT!$C$8),(E29-GVT!$C$7)*GVT!$H$8+GVT!$F$8,IF(AND(E29&gt;GVT!$A$9,E29&lt;=GVT!$C$9),((E29-GVT!$C$8)*GVT!$H$9+GVT!$F$9),((E29-GVT!$A$11)*GVT!$H$11+GVT!$F$11)))))-F29))</f>
        <v>0</v>
      </c>
      <c r="K29" s="102">
        <f t="shared" si="1"/>
        <v>0</v>
      </c>
      <c r="M29" s="1"/>
      <c r="N29" s="99"/>
      <c r="O29" s="97"/>
    </row>
    <row r="30" spans="1:15" ht="15" customHeight="1">
      <c r="A30" s="48">
        <v>20</v>
      </c>
      <c r="B30" s="98">
        <f>IF('BORDRO (Sayfa-1)'!B30="","",'BORDRO (Sayfa-1)'!B30)</f>
      </c>
      <c r="C30" s="18">
        <f>IF('BORDRO (Sayfa-1)'!U30="",0,'BORDRO (Sayfa-1)'!U30)</f>
        <v>0</v>
      </c>
      <c r="D30" s="18">
        <f>IF('BORDRO (Sayfa-1)'!V30="",0,'BORDRO (Sayfa-1)'!V30)</f>
        <v>0</v>
      </c>
      <c r="E30" s="18">
        <f t="shared" si="0"/>
        <v>0</v>
      </c>
      <c r="F30" s="101">
        <f>IF(OR(E30="",P!$G$13="H"),0,IF(C30&lt;=GVT!$C$7,C30*GVT!$H$7,IF(AND(C30&gt;GVT!$A$8,C30&lt;=GVT!$C$8),(C30-GVT!$C$7)*GVT!$H$8+GVT!$F$8,IF(AND(C30&gt;GVT!$A$9,C30&lt;=GVT!$C$9),((C30-GVT!$C$8)*GVT!$H$9+GVT!$F$9),((C30-GVT!$A$11)*GVT!$H$11+GVT!$F$11)))))</f>
        <v>0</v>
      </c>
      <c r="G30" s="100">
        <f>IF(OR(E30="",P!$G$13="H",E30&gt;$O$15),0,(IF(E30&lt;=GVT!$C$7,E30*GVT!$H$7,IF(AND(E30&gt;GVT!$A$8,E30&lt;=GVT!$C$8),(E30-GVT!$C$7)*GVT!$H$8+GVT!$F$8,IF(AND(E30&gt;GVT!$A$9,E30&lt;=GVT!$C$9),((E30-GVT!$C$8)*GVT!$H$9+GVT!$F$9),((E30-GVT!$A$11)*GVT!$H$11+GVT!$F$11)))))-F30)</f>
        <v>0</v>
      </c>
      <c r="H30" s="100">
        <f>IF(OR(E30="",P!$G$13="H",E30&gt;$O$16,E30&lt;$O$15),0,(IF(E30&lt;=GVT!$C$7,E30*GVT!$H$7,IF(AND(E30&gt;GVT!$A$8,E30&lt;=GVT!$C$8),(E30-GVT!$C$7)*GVT!$H$8+GVT!$F$8,IF(AND(E30&gt;GVT!$A$9,E30&lt;=GVT!$C$9),((E30-GVT!$C$8)*GVT!$H$9+GVT!$F$9),((E30-GVT!$A$11)*GVT!$H$11+GVT!$F$11)))))-F30)</f>
        <v>0</v>
      </c>
      <c r="I30" s="100">
        <f>IF(OR(E30="",E30&gt;$O$17,E30&lt;$O$16),0,(IF(OR(E30="",P!$G$13="H"),0,IF(E30&lt;=GVT!$C$7,E30*GVT!$H$7,IF(AND(E30&gt;GVT!$A$8,E30&lt;=GVT!$C$8),(E30-GVT!$C$7)*GVT!$H$8+GVT!$F$8,IF(AND(E30&gt;GVT!$A$9,E30&lt;=GVT!$C$9),((E30-GVT!$C$8)*GVT!$H$9+GVT!$F$9),((E30-GVT!$A$11)*GVT!$H$11+GVT!$F$11)))))-F30))</f>
        <v>0</v>
      </c>
      <c r="J30" s="100">
        <f>IF(OR(E30="",E30&lt;$M$18),0,(IF(OR(E30="",P!$G$13="H"),0,IF(E30&lt;=GVT!$C$7,E30*GVT!$H$7,IF(AND(E30&gt;GVT!$A$8,E30&lt;=GVT!$C$8),(E30-GVT!$C$7)*GVT!$H$8+GVT!$F$8,IF(AND(E30&gt;GVT!$A$9,E30&lt;=GVT!$C$9),((E30-GVT!$C$8)*GVT!$H$9+GVT!$F$9),((E30-GVT!$A$11)*GVT!$H$11+GVT!$F$11)))))-F30))</f>
        <v>0</v>
      </c>
      <c r="K30" s="102">
        <f t="shared" si="1"/>
        <v>0</v>
      </c>
      <c r="M30" s="1"/>
      <c r="N30" s="99"/>
      <c r="O30" s="97"/>
    </row>
    <row r="31" spans="1:15" ht="15" customHeight="1">
      <c r="A31" s="48">
        <v>21</v>
      </c>
      <c r="B31" s="98">
        <f>IF('BORDRO (Sayfa-2)'!B12="","",'BORDRO (Sayfa-2)'!B12)</f>
      </c>
      <c r="C31" s="18">
        <f>IF('BORDRO (Sayfa-2)'!U12="",0,'BORDRO (Sayfa-2)'!U12)</f>
        <v>0</v>
      </c>
      <c r="D31" s="18">
        <f>IF('BORDRO (Sayfa-2)'!V12="",0,'BORDRO (Sayfa-2)'!V12)</f>
        <v>0</v>
      </c>
      <c r="E31" s="18">
        <f t="shared" si="0"/>
        <v>0</v>
      </c>
      <c r="F31" s="101">
        <f>IF(OR(E31="",P!$G$13="H"),0,IF(C31&lt;=GVT!$C$7,C31*GVT!$H$7,IF(AND(C31&gt;GVT!$A$8,C31&lt;=GVT!$C$8),(C31-GVT!$C$7)*GVT!$H$8+GVT!$F$8,IF(AND(C31&gt;GVT!$A$9,C31&lt;=GVT!$C$9),((C31-GVT!$C$8)*GVT!$H$9+GVT!$F$9),((C31-GVT!$A$11)*GVT!$H$11+GVT!$F$11)))))</f>
        <v>0</v>
      </c>
      <c r="G31" s="100">
        <f>IF(OR(E31="",P!$G$13="H",E31&gt;$O$15),0,(IF(E31&lt;=GVT!$C$7,E31*GVT!$H$7,IF(AND(E31&gt;GVT!$A$8,E31&lt;=GVT!$C$8),(E31-GVT!$C$7)*GVT!$H$8+GVT!$F$8,IF(AND(E31&gt;GVT!$A$9,E31&lt;=GVT!$C$9),((E31-GVT!$C$8)*GVT!$H$9+GVT!$F$9),((E31-GVT!$A$11)*GVT!$H$11+GVT!$F$11)))))-F31)</f>
        <v>0</v>
      </c>
      <c r="H31" s="100">
        <f>IF(OR(E31="",P!$G$13="H",E31&gt;$O$16,E31&lt;$O$15),0,(IF(E31&lt;=GVT!$C$7,E31*GVT!$H$7,IF(AND(E31&gt;GVT!$A$8,E31&lt;=GVT!$C$8),(E31-GVT!$C$7)*GVT!$H$8+GVT!$F$8,IF(AND(E31&gt;GVT!$A$9,E31&lt;=GVT!$C$9),((E31-GVT!$C$8)*GVT!$H$9+GVT!$F$9),((E31-GVT!$A$11)*GVT!$H$11+GVT!$F$11)))))-F31)</f>
        <v>0</v>
      </c>
      <c r="I31" s="100">
        <f>IF(OR(E31="",E31&gt;$O$17,E31&lt;$O$16),0,(IF(OR(E31="",P!$G$13="H"),0,IF(E31&lt;=GVT!$C$7,E31*GVT!$H$7,IF(AND(E31&gt;GVT!$A$8,E31&lt;=GVT!$C$8),(E31-GVT!$C$7)*GVT!$H$8+GVT!$F$8,IF(AND(E31&gt;GVT!$A$9,E31&lt;=GVT!$C$9),((E31-GVT!$C$8)*GVT!$H$9+GVT!$F$9),((E31-GVT!$A$11)*GVT!$H$11+GVT!$F$11)))))-F31))</f>
        <v>0</v>
      </c>
      <c r="J31" s="100">
        <f>IF(OR(E31="",E31&lt;$M$18),0,(IF(OR(E31="",P!$G$13="H"),0,IF(E31&lt;=GVT!$C$7,E31*GVT!$H$7,IF(AND(E31&gt;GVT!$A$8,E31&lt;=GVT!$C$8),(E31-GVT!$C$7)*GVT!$H$8+GVT!$F$8,IF(AND(E31&gt;GVT!$A$9,E31&lt;=GVT!$C$9),((E31-GVT!$C$8)*GVT!$H$9+GVT!$F$9),((E31-GVT!$A$11)*GVT!$H$11+GVT!$F$11)))))-F31))</f>
        <v>0</v>
      </c>
      <c r="K31" s="102">
        <f t="shared" si="1"/>
        <v>0</v>
      </c>
      <c r="M31" s="1"/>
      <c r="N31" s="99"/>
      <c r="O31" s="97"/>
    </row>
    <row r="32" spans="1:15" ht="15" customHeight="1">
      <c r="A32" s="48">
        <v>22</v>
      </c>
      <c r="B32" s="98">
        <f>IF('BORDRO (Sayfa-2)'!B13="","",'BORDRO (Sayfa-2)'!B13)</f>
      </c>
      <c r="C32" s="18">
        <f>IF('BORDRO (Sayfa-2)'!U13="",0,'BORDRO (Sayfa-2)'!U13)</f>
        <v>0</v>
      </c>
      <c r="D32" s="18">
        <f>IF('BORDRO (Sayfa-2)'!V13="",0,'BORDRO (Sayfa-2)'!V13)</f>
        <v>0</v>
      </c>
      <c r="E32" s="18">
        <f t="shared" si="0"/>
        <v>0</v>
      </c>
      <c r="F32" s="101">
        <f>IF(OR(E32="",P!$G$13="H"),0,IF(C32&lt;=GVT!$C$7,C32*GVT!$H$7,IF(AND(C32&gt;GVT!$A$8,C32&lt;=GVT!$C$8),(C32-GVT!$C$7)*GVT!$H$8+GVT!$F$8,IF(AND(C32&gt;GVT!$A$9,C32&lt;=GVT!$C$9),((C32-GVT!$C$8)*GVT!$H$9+GVT!$F$9),((C32-GVT!$A$11)*GVT!$H$11+GVT!$F$11)))))</f>
        <v>0</v>
      </c>
      <c r="G32" s="100">
        <f>IF(OR(E32="",P!$G$13="H",E32&gt;$O$15),0,(IF(E32&lt;=GVT!$C$7,E32*GVT!$H$7,IF(AND(E32&gt;GVT!$A$8,E32&lt;=GVT!$C$8),(E32-GVT!$C$7)*GVT!$H$8+GVT!$F$8,IF(AND(E32&gt;GVT!$A$9,E32&lt;=GVT!$C$9),((E32-GVT!$C$8)*GVT!$H$9+GVT!$F$9),((E32-GVT!$A$11)*GVT!$H$11+GVT!$F$11)))))-F32)</f>
        <v>0</v>
      </c>
      <c r="H32" s="100">
        <f>IF(OR(E32="",P!$G$13="H",E32&gt;$O$16,E32&lt;$O$15),0,(IF(E32&lt;=GVT!$C$7,E32*GVT!$H$7,IF(AND(E32&gt;GVT!$A$8,E32&lt;=GVT!$C$8),(E32-GVT!$C$7)*GVT!$H$8+GVT!$F$8,IF(AND(E32&gt;GVT!$A$9,E32&lt;=GVT!$C$9),((E32-GVT!$C$8)*GVT!$H$9+GVT!$F$9),((E32-GVT!$A$11)*GVT!$H$11+GVT!$F$11)))))-F32)</f>
        <v>0</v>
      </c>
      <c r="I32" s="100">
        <f>IF(OR(E32="",E32&gt;$O$17,E32&lt;$O$16),0,(IF(OR(E32="",P!$G$13="H"),0,IF(E32&lt;=GVT!$C$7,E32*GVT!$H$7,IF(AND(E32&gt;GVT!$A$8,E32&lt;=GVT!$C$8),(E32-GVT!$C$7)*GVT!$H$8+GVT!$F$8,IF(AND(E32&gt;GVT!$A$9,E32&lt;=GVT!$C$9),((E32-GVT!$C$8)*GVT!$H$9+GVT!$F$9),((E32-GVT!$A$11)*GVT!$H$11+GVT!$F$11)))))-F32))</f>
        <v>0</v>
      </c>
      <c r="J32" s="100">
        <f>IF(OR(E32="",E32&lt;$M$18),0,(IF(OR(E32="",P!$G$13="H"),0,IF(E32&lt;=GVT!$C$7,E32*GVT!$H$7,IF(AND(E32&gt;GVT!$A$8,E32&lt;=GVT!$C$8),(E32-GVT!$C$7)*GVT!$H$8+GVT!$F$8,IF(AND(E32&gt;GVT!$A$9,E32&lt;=GVT!$C$9),((E32-GVT!$C$8)*GVT!$H$9+GVT!$F$9),((E32-GVT!$A$11)*GVT!$H$11+GVT!$F$11)))))-F32))</f>
        <v>0</v>
      </c>
      <c r="K32" s="102">
        <f t="shared" si="1"/>
        <v>0</v>
      </c>
      <c r="M32" s="1"/>
      <c r="N32" s="99"/>
      <c r="O32" s="97"/>
    </row>
    <row r="33" spans="1:15" ht="15" customHeight="1">
      <c r="A33" s="48">
        <v>23</v>
      </c>
      <c r="B33" s="98">
        <f>IF('BORDRO (Sayfa-2)'!B14="","",'BORDRO (Sayfa-2)'!B14)</f>
      </c>
      <c r="C33" s="18">
        <f>IF('BORDRO (Sayfa-2)'!U14="",0,'BORDRO (Sayfa-2)'!U14)</f>
        <v>0</v>
      </c>
      <c r="D33" s="18">
        <f>IF('BORDRO (Sayfa-2)'!V14="",0,'BORDRO (Sayfa-2)'!V14)</f>
        <v>0</v>
      </c>
      <c r="E33" s="18">
        <f t="shared" si="0"/>
        <v>0</v>
      </c>
      <c r="F33" s="101">
        <f>IF(OR(E33="",P!$G$13="H"),0,IF(C33&lt;=GVT!$C$7,C33*GVT!$H$7,IF(AND(C33&gt;GVT!$A$8,C33&lt;=GVT!$C$8),(C33-GVT!$C$7)*GVT!$H$8+GVT!$F$8,IF(AND(C33&gt;GVT!$A$9,C33&lt;=GVT!$C$9),((C33-GVT!$C$8)*GVT!$H$9+GVT!$F$9),((C33-GVT!$A$11)*GVT!$H$11+GVT!$F$11)))))</f>
        <v>0</v>
      </c>
      <c r="G33" s="100">
        <f>IF(OR(E33="",P!$G$13="H",E33&gt;$O$15),0,(IF(E33&lt;=GVT!$C$7,E33*GVT!$H$7,IF(AND(E33&gt;GVT!$A$8,E33&lt;=GVT!$C$8),(E33-GVT!$C$7)*GVT!$H$8+GVT!$F$8,IF(AND(E33&gt;GVT!$A$9,E33&lt;=GVT!$C$9),((E33-GVT!$C$8)*GVT!$H$9+GVT!$F$9),((E33-GVT!$A$11)*GVT!$H$11+GVT!$F$11)))))-F33)</f>
        <v>0</v>
      </c>
      <c r="H33" s="100">
        <f>IF(OR(E33="",P!$G$13="H",E33&gt;$O$16,E33&lt;$O$15),0,(IF(E33&lt;=GVT!$C$7,E33*GVT!$H$7,IF(AND(E33&gt;GVT!$A$8,E33&lt;=GVT!$C$8),(E33-GVT!$C$7)*GVT!$H$8+GVT!$F$8,IF(AND(E33&gt;GVT!$A$9,E33&lt;=GVT!$C$9),((E33-GVT!$C$8)*GVT!$H$9+GVT!$F$9),((E33-GVT!$A$11)*GVT!$H$11+GVT!$F$11)))))-F33)</f>
        <v>0</v>
      </c>
      <c r="I33" s="100">
        <f>IF(OR(E33="",E33&gt;$O$17,E33&lt;$O$16),0,(IF(OR(E33="",P!$G$13="H"),0,IF(E33&lt;=GVT!$C$7,E33*GVT!$H$7,IF(AND(E33&gt;GVT!$A$8,E33&lt;=GVT!$C$8),(E33-GVT!$C$7)*GVT!$H$8+GVT!$F$8,IF(AND(E33&gt;GVT!$A$9,E33&lt;=GVT!$C$9),((E33-GVT!$C$8)*GVT!$H$9+GVT!$F$9),((E33-GVT!$A$11)*GVT!$H$11+GVT!$F$11)))))-F33))</f>
        <v>0</v>
      </c>
      <c r="J33" s="100">
        <f>IF(OR(E33="",E33&lt;$M$18),0,(IF(OR(E33="",P!$G$13="H"),0,IF(E33&lt;=GVT!$C$7,E33*GVT!$H$7,IF(AND(E33&gt;GVT!$A$8,E33&lt;=GVT!$C$8),(E33-GVT!$C$7)*GVT!$H$8+GVT!$F$8,IF(AND(E33&gt;GVT!$A$9,E33&lt;=GVT!$C$9),((E33-GVT!$C$8)*GVT!$H$9+GVT!$F$9),((E33-GVT!$A$11)*GVT!$H$11+GVT!$F$11)))))-F33))</f>
        <v>0</v>
      </c>
      <c r="K33" s="102">
        <f t="shared" si="1"/>
        <v>0</v>
      </c>
      <c r="M33" s="1"/>
      <c r="N33" s="99"/>
      <c r="O33" s="97"/>
    </row>
    <row r="34" spans="1:15" ht="15" customHeight="1">
      <c r="A34" s="48">
        <v>24</v>
      </c>
      <c r="B34" s="98">
        <f>IF('BORDRO (Sayfa-2)'!B15="","",'BORDRO (Sayfa-2)'!B15)</f>
      </c>
      <c r="C34" s="18">
        <f>IF('BORDRO (Sayfa-2)'!U15="",0,'BORDRO (Sayfa-2)'!U15)</f>
        <v>0</v>
      </c>
      <c r="D34" s="18">
        <f>IF('BORDRO (Sayfa-2)'!V15="",0,'BORDRO (Sayfa-2)'!V15)</f>
        <v>0</v>
      </c>
      <c r="E34" s="18">
        <f t="shared" si="0"/>
        <v>0</v>
      </c>
      <c r="F34" s="101">
        <f>IF(OR(E34="",P!$G$13="H"),0,IF(C34&lt;=GVT!$C$7,C34*GVT!$H$7,IF(AND(C34&gt;GVT!$A$8,C34&lt;=GVT!$C$8),(C34-GVT!$C$7)*GVT!$H$8+GVT!$F$8,IF(AND(C34&gt;GVT!$A$9,C34&lt;=GVT!$C$9),((C34-GVT!$C$8)*GVT!$H$9+GVT!$F$9),((C34-GVT!$A$11)*GVT!$H$11+GVT!$F$11)))))</f>
        <v>0</v>
      </c>
      <c r="G34" s="100">
        <f>IF(OR(E34="",P!$G$13="H",E34&gt;$O$15),0,(IF(E34&lt;=GVT!$C$7,E34*GVT!$H$7,IF(AND(E34&gt;GVT!$A$8,E34&lt;=GVT!$C$8),(E34-GVT!$C$7)*GVT!$H$8+GVT!$F$8,IF(AND(E34&gt;GVT!$A$9,E34&lt;=GVT!$C$9),((E34-GVT!$C$8)*GVT!$H$9+GVT!$F$9),((E34-GVT!$A$11)*GVT!$H$11+GVT!$F$11)))))-F34)</f>
        <v>0</v>
      </c>
      <c r="H34" s="100">
        <f>IF(OR(E34="",P!$G$13="H",E34&gt;$O$16,E34&lt;$O$15),0,(IF(E34&lt;=GVT!$C$7,E34*GVT!$H$7,IF(AND(E34&gt;GVT!$A$8,E34&lt;=GVT!$C$8),(E34-GVT!$C$7)*GVT!$H$8+GVT!$F$8,IF(AND(E34&gt;GVT!$A$9,E34&lt;=GVT!$C$9),((E34-GVT!$C$8)*GVT!$H$9+GVT!$F$9),((E34-GVT!$A$11)*GVT!$H$11+GVT!$F$11)))))-F34)</f>
        <v>0</v>
      </c>
      <c r="I34" s="100">
        <f>IF(OR(E34="",E34&gt;$O$17,E34&lt;$O$16),0,(IF(OR(E34="",P!$G$13="H"),0,IF(E34&lt;=GVT!$C$7,E34*GVT!$H$7,IF(AND(E34&gt;GVT!$A$8,E34&lt;=GVT!$C$8),(E34-GVT!$C$7)*GVT!$H$8+GVT!$F$8,IF(AND(E34&gt;GVT!$A$9,E34&lt;=GVT!$C$9),((E34-GVT!$C$8)*GVT!$H$9+GVT!$F$9),((E34-GVT!$A$11)*GVT!$H$11+GVT!$F$11)))))-F34))</f>
        <v>0</v>
      </c>
      <c r="J34" s="100">
        <f>IF(OR(E34="",E34&lt;$M$18),0,(IF(OR(E34="",P!$G$13="H"),0,IF(E34&lt;=GVT!$C$7,E34*GVT!$H$7,IF(AND(E34&gt;GVT!$A$8,E34&lt;=GVT!$C$8),(E34-GVT!$C$7)*GVT!$H$8+GVT!$F$8,IF(AND(E34&gt;GVT!$A$9,E34&lt;=GVT!$C$9),((E34-GVT!$C$8)*GVT!$H$9+GVT!$F$9),((E34-GVT!$A$11)*GVT!$H$11+GVT!$F$11)))))-F34))</f>
        <v>0</v>
      </c>
      <c r="K34" s="102">
        <f t="shared" si="1"/>
        <v>0</v>
      </c>
      <c r="M34" s="1"/>
      <c r="N34" s="99"/>
      <c r="O34" s="97"/>
    </row>
    <row r="35" spans="1:15" ht="15" customHeight="1">
      <c r="A35" s="48">
        <v>25</v>
      </c>
      <c r="B35" s="98">
        <f>IF('BORDRO (Sayfa-2)'!B16="","",'BORDRO (Sayfa-2)'!B16)</f>
      </c>
      <c r="C35" s="18">
        <f>IF('BORDRO (Sayfa-2)'!U16="",0,'BORDRO (Sayfa-2)'!U16)</f>
        <v>0</v>
      </c>
      <c r="D35" s="18">
        <f>IF('BORDRO (Sayfa-2)'!V16="",0,'BORDRO (Sayfa-2)'!V16)</f>
        <v>0</v>
      </c>
      <c r="E35" s="18">
        <f t="shared" si="0"/>
        <v>0</v>
      </c>
      <c r="F35" s="101">
        <f>IF(OR(E35="",P!$G$13="H"),0,IF(C35&lt;=GVT!$C$7,C35*GVT!$H$7,IF(AND(C35&gt;GVT!$A$8,C35&lt;=GVT!$C$8),(C35-GVT!$C$7)*GVT!$H$8+GVT!$F$8,IF(AND(C35&gt;GVT!$A$9,C35&lt;=GVT!$C$9),((C35-GVT!$C$8)*GVT!$H$9+GVT!$F$9),((C35-GVT!$A$11)*GVT!$H$11+GVT!$F$11)))))</f>
        <v>0</v>
      </c>
      <c r="G35" s="100">
        <f>IF(OR(E35="",P!$G$13="H",E35&gt;$O$15),0,(IF(E35&lt;=GVT!$C$7,E35*GVT!$H$7,IF(AND(E35&gt;GVT!$A$8,E35&lt;=GVT!$C$8),(E35-GVT!$C$7)*GVT!$H$8+GVT!$F$8,IF(AND(E35&gt;GVT!$A$9,E35&lt;=GVT!$C$9),((E35-GVT!$C$8)*GVT!$H$9+GVT!$F$9),((E35-GVT!$A$11)*GVT!$H$11+GVT!$F$11)))))-F35)</f>
        <v>0</v>
      </c>
      <c r="H35" s="100">
        <f>IF(OR(E35="",P!$G$13="H",E35&gt;$O$16,E35&lt;$O$15),0,(IF(E35&lt;=GVT!$C$7,E35*GVT!$H$7,IF(AND(E35&gt;GVT!$A$8,E35&lt;=GVT!$C$8),(E35-GVT!$C$7)*GVT!$H$8+GVT!$F$8,IF(AND(E35&gt;GVT!$A$9,E35&lt;=GVT!$C$9),((E35-GVT!$C$8)*GVT!$H$9+GVT!$F$9),((E35-GVT!$A$11)*GVT!$H$11+GVT!$F$11)))))-F35)</f>
        <v>0</v>
      </c>
      <c r="I35" s="100">
        <f>IF(OR(E35="",E35&gt;$O$17,E35&lt;$O$16),0,(IF(OR(E35="",P!$G$13="H"),0,IF(E35&lt;=GVT!$C$7,E35*GVT!$H$7,IF(AND(E35&gt;GVT!$A$8,E35&lt;=GVT!$C$8),(E35-GVT!$C$7)*GVT!$H$8+GVT!$F$8,IF(AND(E35&gt;GVT!$A$9,E35&lt;=GVT!$C$9),((E35-GVT!$C$8)*GVT!$H$9+GVT!$F$9),((E35-GVT!$A$11)*GVT!$H$11+GVT!$F$11)))))-F35))</f>
        <v>0</v>
      </c>
      <c r="J35" s="100">
        <f>IF(OR(E35="",E35&lt;$M$18),0,(IF(OR(E35="",P!$G$13="H"),0,IF(E35&lt;=GVT!$C$7,E35*GVT!$H$7,IF(AND(E35&gt;GVT!$A$8,E35&lt;=GVT!$C$8),(E35-GVT!$C$7)*GVT!$H$8+GVT!$F$8,IF(AND(E35&gt;GVT!$A$9,E35&lt;=GVT!$C$9),((E35-GVT!$C$8)*GVT!$H$9+GVT!$F$9),((E35-GVT!$A$11)*GVT!$H$11+GVT!$F$11)))))-F35))</f>
        <v>0</v>
      </c>
      <c r="K35" s="102">
        <f t="shared" si="1"/>
        <v>0</v>
      </c>
      <c r="M35" s="1"/>
      <c r="N35" s="99"/>
      <c r="O35" s="97"/>
    </row>
    <row r="36" spans="1:15" ht="15" customHeight="1">
      <c r="A36" s="48">
        <v>26</v>
      </c>
      <c r="B36" s="98">
        <f>IF('BORDRO (Sayfa-2)'!B17="","",'BORDRO (Sayfa-2)'!B17)</f>
      </c>
      <c r="C36" s="18">
        <f>IF('BORDRO (Sayfa-2)'!U17="",0,'BORDRO (Sayfa-2)'!U17)</f>
        <v>0</v>
      </c>
      <c r="D36" s="18">
        <f>IF('BORDRO (Sayfa-2)'!V17="",0,'BORDRO (Sayfa-2)'!V17)</f>
        <v>0</v>
      </c>
      <c r="E36" s="18">
        <f t="shared" si="0"/>
        <v>0</v>
      </c>
      <c r="F36" s="101">
        <f>IF(OR(E36="",P!$G$13="H"),0,IF(C36&lt;=GVT!$C$7,C36*GVT!$H$7,IF(AND(C36&gt;GVT!$A$8,C36&lt;=GVT!$C$8),(C36-GVT!$C$7)*GVT!$H$8+GVT!$F$8,IF(AND(C36&gt;GVT!$A$9,C36&lt;=GVT!$C$9),((C36-GVT!$C$8)*GVT!$H$9+GVT!$F$9),((C36-GVT!$A$11)*GVT!$H$11+GVT!$F$11)))))</f>
        <v>0</v>
      </c>
      <c r="G36" s="100">
        <f>IF(OR(E36="",P!$G$13="H",E36&gt;$O$15),0,(IF(E36&lt;=GVT!$C$7,E36*GVT!$H$7,IF(AND(E36&gt;GVT!$A$8,E36&lt;=GVT!$C$8),(E36-GVT!$C$7)*GVT!$H$8+GVT!$F$8,IF(AND(E36&gt;GVT!$A$9,E36&lt;=GVT!$C$9),((E36-GVT!$C$8)*GVT!$H$9+GVT!$F$9),((E36-GVT!$A$11)*GVT!$H$11+GVT!$F$11)))))-F36)</f>
        <v>0</v>
      </c>
      <c r="H36" s="100">
        <f>IF(OR(E36="",P!$G$13="H",E36&gt;$O$16,E36&lt;$O$15),0,(IF(E36&lt;=GVT!$C$7,E36*GVT!$H$7,IF(AND(E36&gt;GVT!$A$8,E36&lt;=GVT!$C$8),(E36-GVT!$C$7)*GVT!$H$8+GVT!$F$8,IF(AND(E36&gt;GVT!$A$9,E36&lt;=GVT!$C$9),((E36-GVT!$C$8)*GVT!$H$9+GVT!$F$9),((E36-GVT!$A$11)*GVT!$H$11+GVT!$F$11)))))-F36)</f>
        <v>0</v>
      </c>
      <c r="I36" s="100">
        <f>IF(OR(E36="",E36&gt;$O$17,E36&lt;$O$16),0,(IF(OR(E36="",P!$G$13="H"),0,IF(E36&lt;=GVT!$C$7,E36*GVT!$H$7,IF(AND(E36&gt;GVT!$A$8,E36&lt;=GVT!$C$8),(E36-GVT!$C$7)*GVT!$H$8+GVT!$F$8,IF(AND(E36&gt;GVT!$A$9,E36&lt;=GVT!$C$9),((E36-GVT!$C$8)*GVT!$H$9+GVT!$F$9),((E36-GVT!$A$11)*GVT!$H$11+GVT!$F$11)))))-F36))</f>
        <v>0</v>
      </c>
      <c r="J36" s="100">
        <f>IF(OR(E36="",E36&lt;$M$18),0,(IF(OR(E36="",P!$G$13="H"),0,IF(E36&lt;=GVT!$C$7,E36*GVT!$H$7,IF(AND(E36&gt;GVT!$A$8,E36&lt;=GVT!$C$8),(E36-GVT!$C$7)*GVT!$H$8+GVT!$F$8,IF(AND(E36&gt;GVT!$A$9,E36&lt;=GVT!$C$9),((E36-GVT!$C$8)*GVT!$H$9+GVT!$F$9),((E36-GVT!$A$11)*GVT!$H$11+GVT!$F$11)))))-F36))</f>
        <v>0</v>
      </c>
      <c r="K36" s="102">
        <f t="shared" si="1"/>
        <v>0</v>
      </c>
      <c r="M36" s="1"/>
      <c r="N36" s="99"/>
      <c r="O36" s="97"/>
    </row>
    <row r="37" spans="1:15" ht="15" customHeight="1">
      <c r="A37" s="48">
        <v>27</v>
      </c>
      <c r="B37" s="98">
        <f>IF('BORDRO (Sayfa-2)'!B18="","",'BORDRO (Sayfa-2)'!B18)</f>
      </c>
      <c r="C37" s="18">
        <f>IF('BORDRO (Sayfa-2)'!U18="",0,'BORDRO (Sayfa-2)'!U18)</f>
        <v>0</v>
      </c>
      <c r="D37" s="18">
        <f>IF('BORDRO (Sayfa-2)'!V18="",0,'BORDRO (Sayfa-2)'!V18)</f>
        <v>0</v>
      </c>
      <c r="E37" s="18">
        <f t="shared" si="0"/>
        <v>0</v>
      </c>
      <c r="F37" s="101">
        <f>IF(OR(E37="",P!$G$13="H"),0,IF(C37&lt;=GVT!$C$7,C37*GVT!$H$7,IF(AND(C37&gt;GVT!$A$8,C37&lt;=GVT!$C$8),(C37-GVT!$C$7)*GVT!$H$8+GVT!$F$8,IF(AND(C37&gt;GVT!$A$9,C37&lt;=GVT!$C$9),((C37-GVT!$C$8)*GVT!$H$9+GVT!$F$9),((C37-GVT!$A$11)*GVT!$H$11+GVT!$F$11)))))</f>
        <v>0</v>
      </c>
      <c r="G37" s="100">
        <f>IF(OR(E37="",P!$G$13="H",E37&gt;$O$15),0,(IF(E37&lt;=GVT!$C$7,E37*GVT!$H$7,IF(AND(E37&gt;GVT!$A$8,E37&lt;=GVT!$C$8),(E37-GVT!$C$7)*GVT!$H$8+GVT!$F$8,IF(AND(E37&gt;GVT!$A$9,E37&lt;=GVT!$C$9),((E37-GVT!$C$8)*GVT!$H$9+GVT!$F$9),((E37-GVT!$A$11)*GVT!$H$11+GVT!$F$11)))))-F37)</f>
        <v>0</v>
      </c>
      <c r="H37" s="100">
        <f>IF(OR(E37="",P!$G$13="H",E37&gt;$O$16,E37&lt;$O$15),0,(IF(E37&lt;=GVT!$C$7,E37*GVT!$H$7,IF(AND(E37&gt;GVT!$A$8,E37&lt;=GVT!$C$8),(E37-GVT!$C$7)*GVT!$H$8+GVT!$F$8,IF(AND(E37&gt;GVT!$A$9,E37&lt;=GVT!$C$9),((E37-GVT!$C$8)*GVT!$H$9+GVT!$F$9),((E37-GVT!$A$11)*GVT!$H$11+GVT!$F$11)))))-F37)</f>
        <v>0</v>
      </c>
      <c r="I37" s="100">
        <f>IF(OR(E37="",E37&gt;$O$17,E37&lt;$O$16),0,(IF(OR(E37="",P!$G$13="H"),0,IF(E37&lt;=GVT!$C$7,E37*GVT!$H$7,IF(AND(E37&gt;GVT!$A$8,E37&lt;=GVT!$C$8),(E37-GVT!$C$7)*GVT!$H$8+GVT!$F$8,IF(AND(E37&gt;GVT!$A$9,E37&lt;=GVT!$C$9),((E37-GVT!$C$8)*GVT!$H$9+GVT!$F$9),((E37-GVT!$A$11)*GVT!$H$11+GVT!$F$11)))))-F37))</f>
        <v>0</v>
      </c>
      <c r="J37" s="100">
        <f>IF(OR(E37="",E37&lt;$M$18),0,(IF(OR(E37="",P!$G$13="H"),0,IF(E37&lt;=GVT!$C$7,E37*GVT!$H$7,IF(AND(E37&gt;GVT!$A$8,E37&lt;=GVT!$C$8),(E37-GVT!$C$7)*GVT!$H$8+GVT!$F$8,IF(AND(E37&gt;GVT!$A$9,E37&lt;=GVT!$C$9),((E37-GVT!$C$8)*GVT!$H$9+GVT!$F$9),((E37-GVT!$A$11)*GVT!$H$11+GVT!$F$11)))))-F37))</f>
        <v>0</v>
      </c>
      <c r="K37" s="102">
        <f t="shared" si="1"/>
        <v>0</v>
      </c>
      <c r="M37" s="1"/>
      <c r="N37" s="99"/>
      <c r="O37" s="97"/>
    </row>
    <row r="38" spans="1:15" ht="15" customHeight="1">
      <c r="A38" s="48">
        <v>28</v>
      </c>
      <c r="B38" s="98">
        <f>IF('BORDRO (Sayfa-2)'!B19="","",'BORDRO (Sayfa-2)'!B19)</f>
      </c>
      <c r="C38" s="18">
        <f>IF('BORDRO (Sayfa-2)'!U19="",0,'BORDRO (Sayfa-2)'!U19)</f>
        <v>0</v>
      </c>
      <c r="D38" s="18">
        <f>IF('BORDRO (Sayfa-2)'!V19="",0,'BORDRO (Sayfa-2)'!V19)</f>
        <v>0</v>
      </c>
      <c r="E38" s="18">
        <f t="shared" si="0"/>
        <v>0</v>
      </c>
      <c r="F38" s="101">
        <f>IF(OR(E38="",P!$G$13="H"),0,IF(C38&lt;=GVT!$C$7,C38*GVT!$H$7,IF(AND(C38&gt;GVT!$A$8,C38&lt;=GVT!$C$8),(C38-GVT!$C$7)*GVT!$H$8+GVT!$F$8,IF(AND(C38&gt;GVT!$A$9,C38&lt;=GVT!$C$9),((C38-GVT!$C$8)*GVT!$H$9+GVT!$F$9),((C38-GVT!$A$11)*GVT!$H$11+GVT!$F$11)))))</f>
        <v>0</v>
      </c>
      <c r="G38" s="100">
        <f>IF(OR(E38="",P!$G$13="H",E38&gt;$O$15),0,(IF(E38&lt;=GVT!$C$7,E38*GVT!$H$7,IF(AND(E38&gt;GVT!$A$8,E38&lt;=GVT!$C$8),(E38-GVT!$C$7)*GVT!$H$8+GVT!$F$8,IF(AND(E38&gt;GVT!$A$9,E38&lt;=GVT!$C$9),((E38-GVT!$C$8)*GVT!$H$9+GVT!$F$9),((E38-GVT!$A$11)*GVT!$H$11+GVT!$F$11)))))-F38)</f>
        <v>0</v>
      </c>
      <c r="H38" s="100">
        <f>IF(OR(E38="",P!$G$13="H",E38&gt;$O$16,E38&lt;$O$15),0,(IF(E38&lt;=GVT!$C$7,E38*GVT!$H$7,IF(AND(E38&gt;GVT!$A$8,E38&lt;=GVT!$C$8),(E38-GVT!$C$7)*GVT!$H$8+GVT!$F$8,IF(AND(E38&gt;GVT!$A$9,E38&lt;=GVT!$C$9),((E38-GVT!$C$8)*GVT!$H$9+GVT!$F$9),((E38-GVT!$A$11)*GVT!$H$11+GVT!$F$11)))))-F38)</f>
        <v>0</v>
      </c>
      <c r="I38" s="100">
        <f>IF(OR(E38="",E38&gt;$O$17,E38&lt;$O$16),0,(IF(OR(E38="",P!$G$13="H"),0,IF(E38&lt;=GVT!$C$7,E38*GVT!$H$7,IF(AND(E38&gt;GVT!$A$8,E38&lt;=GVT!$C$8),(E38-GVT!$C$7)*GVT!$H$8+GVT!$F$8,IF(AND(E38&gt;GVT!$A$9,E38&lt;=GVT!$C$9),((E38-GVT!$C$8)*GVT!$H$9+GVT!$F$9),((E38-GVT!$A$11)*GVT!$H$11+GVT!$F$11)))))-F38))</f>
        <v>0</v>
      </c>
      <c r="J38" s="100">
        <f>IF(OR(E38="",E38&lt;$M$18),0,(IF(OR(E38="",P!$G$13="H"),0,IF(E38&lt;=GVT!$C$7,E38*GVT!$H$7,IF(AND(E38&gt;GVT!$A$8,E38&lt;=GVT!$C$8),(E38-GVT!$C$7)*GVT!$H$8+GVT!$F$8,IF(AND(E38&gt;GVT!$A$9,E38&lt;=GVT!$C$9),((E38-GVT!$C$8)*GVT!$H$9+GVT!$F$9),((E38-GVT!$A$11)*GVT!$H$11+GVT!$F$11)))))-F38))</f>
        <v>0</v>
      </c>
      <c r="K38" s="102">
        <f t="shared" si="1"/>
        <v>0</v>
      </c>
      <c r="O38" s="97"/>
    </row>
    <row r="39" spans="1:11" ht="15" customHeight="1">
      <c r="A39" s="48">
        <v>29</v>
      </c>
      <c r="B39" s="98">
        <f>IF('BORDRO (Sayfa-2)'!B20="","",'BORDRO (Sayfa-2)'!B20)</f>
      </c>
      <c r="C39" s="18">
        <f>IF('BORDRO (Sayfa-2)'!U20="",0,'BORDRO (Sayfa-2)'!U20)</f>
        <v>0</v>
      </c>
      <c r="D39" s="18">
        <f>IF('BORDRO (Sayfa-2)'!V20="",0,'BORDRO (Sayfa-2)'!V20)</f>
        <v>0</v>
      </c>
      <c r="E39" s="18">
        <f t="shared" si="0"/>
        <v>0</v>
      </c>
      <c r="F39" s="101">
        <f>IF(OR(E39="",P!$G$13="H"),0,IF(C39&lt;=GVT!$C$7,C39*GVT!$H$7,IF(AND(C39&gt;GVT!$A$8,C39&lt;=GVT!$C$8),(C39-GVT!$C$7)*GVT!$H$8+GVT!$F$8,IF(AND(C39&gt;GVT!$A$9,C39&lt;=GVT!$C$9),((C39-GVT!$C$8)*GVT!$H$9+GVT!$F$9),((C39-GVT!$A$11)*GVT!$H$11+GVT!$F$11)))))</f>
        <v>0</v>
      </c>
      <c r="G39" s="100">
        <f>IF(OR(E39="",P!$G$13="H",E39&gt;$O$15),0,(IF(E39&lt;=GVT!$C$7,E39*GVT!$H$7,IF(AND(E39&gt;GVT!$A$8,E39&lt;=GVT!$C$8),(E39-GVT!$C$7)*GVT!$H$8+GVT!$F$8,IF(AND(E39&gt;GVT!$A$9,E39&lt;=GVT!$C$9),((E39-GVT!$C$8)*GVT!$H$9+GVT!$F$9),((E39-GVT!$A$11)*GVT!$H$11+GVT!$F$11)))))-F39)</f>
        <v>0</v>
      </c>
      <c r="H39" s="100">
        <f>IF(OR(E39="",P!$G$13="H",E39&gt;$O$16,E39&lt;$O$15),0,(IF(E39&lt;=GVT!$C$7,E39*GVT!$H$7,IF(AND(E39&gt;GVT!$A$8,E39&lt;=GVT!$C$8),(E39-GVT!$C$7)*GVT!$H$8+GVT!$F$8,IF(AND(E39&gt;GVT!$A$9,E39&lt;=GVT!$C$9),((E39-GVT!$C$8)*GVT!$H$9+GVT!$F$9),((E39-GVT!$A$11)*GVT!$H$11+GVT!$F$11)))))-F39)</f>
        <v>0</v>
      </c>
      <c r="I39" s="100">
        <f>IF(OR(E39="",E39&gt;$O$17,E39&lt;$O$16),0,(IF(OR(E39="",P!$G$13="H"),0,IF(E39&lt;=GVT!$C$7,E39*GVT!$H$7,IF(AND(E39&gt;GVT!$A$8,E39&lt;=GVT!$C$8),(E39-GVT!$C$7)*GVT!$H$8+GVT!$F$8,IF(AND(E39&gt;GVT!$A$9,E39&lt;=GVT!$C$9),((E39-GVT!$C$8)*GVT!$H$9+GVT!$F$9),((E39-GVT!$A$11)*GVT!$H$11+GVT!$F$11)))))-F39))</f>
        <v>0</v>
      </c>
      <c r="J39" s="100">
        <f>IF(OR(E39="",E39&lt;$M$18),0,(IF(OR(E39="",P!$G$13="H"),0,IF(E39&lt;=GVT!$C$7,E39*GVT!$H$7,IF(AND(E39&gt;GVT!$A$8,E39&lt;=GVT!$C$8),(E39-GVT!$C$7)*GVT!$H$8+GVT!$F$8,IF(AND(E39&gt;GVT!$A$9,E39&lt;=GVT!$C$9),((E39-GVT!$C$8)*GVT!$H$9+GVT!$F$9),((E39-GVT!$A$11)*GVT!$H$11+GVT!$F$11)))))-F39))</f>
        <v>0</v>
      </c>
      <c r="K39" s="102">
        <f t="shared" si="1"/>
        <v>0</v>
      </c>
    </row>
    <row r="40" spans="1:11" ht="15" customHeight="1">
      <c r="A40" s="48">
        <v>30</v>
      </c>
      <c r="B40" s="98">
        <f>IF('BORDRO (Sayfa-2)'!B21="","",'BORDRO (Sayfa-2)'!B21)</f>
      </c>
      <c r="C40" s="18">
        <f>IF('BORDRO (Sayfa-2)'!U21="",0,'BORDRO (Sayfa-2)'!U21)</f>
        <v>0</v>
      </c>
      <c r="D40" s="18">
        <f>IF('BORDRO (Sayfa-2)'!V21="",0,'BORDRO (Sayfa-2)'!V21)</f>
        <v>0</v>
      </c>
      <c r="E40" s="18">
        <f t="shared" si="0"/>
        <v>0</v>
      </c>
      <c r="F40" s="101">
        <f>IF(OR(E40="",P!$G$13="H"),0,IF(C40&lt;=GVT!$C$7,C40*GVT!$H$7,IF(AND(C40&gt;GVT!$A$8,C40&lt;=GVT!$C$8),(C40-GVT!$C$7)*GVT!$H$8+GVT!$F$8,IF(AND(C40&gt;GVT!$A$9,C40&lt;=GVT!$C$9),((C40-GVT!$C$8)*GVT!$H$9+GVT!$F$9),((C40-GVT!$A$11)*GVT!$H$11+GVT!$F$11)))))</f>
        <v>0</v>
      </c>
      <c r="G40" s="100">
        <f>IF(OR(E40="",P!$G$13="H",E40&gt;$O$15),0,(IF(E40&lt;=GVT!$C$7,E40*GVT!$H$7,IF(AND(E40&gt;GVT!$A$8,E40&lt;=GVT!$C$8),(E40-GVT!$C$7)*GVT!$H$8+GVT!$F$8,IF(AND(E40&gt;GVT!$A$9,E40&lt;=GVT!$C$9),((E40-GVT!$C$8)*GVT!$H$9+GVT!$F$9),((E40-GVT!$A$11)*GVT!$H$11+GVT!$F$11)))))-F40)</f>
        <v>0</v>
      </c>
      <c r="H40" s="100">
        <f>IF(OR(E40="",P!$G$13="H",E40&gt;$O$16,E40&lt;$O$15),0,(IF(E40&lt;=GVT!$C$7,E40*GVT!$H$7,IF(AND(E40&gt;GVT!$A$8,E40&lt;=GVT!$C$8),(E40-GVT!$C$7)*GVT!$H$8+GVT!$F$8,IF(AND(E40&gt;GVT!$A$9,E40&lt;=GVT!$C$9),((E40-GVT!$C$8)*GVT!$H$9+GVT!$F$9),((E40-GVT!$A$11)*GVT!$H$11+GVT!$F$11)))))-F40)</f>
        <v>0</v>
      </c>
      <c r="I40" s="100">
        <f>IF(OR(E40="",E40&gt;$O$17,E40&lt;$O$16),0,(IF(OR(E40="",P!$G$13="H"),0,IF(E40&lt;=GVT!$C$7,E40*GVT!$H$7,IF(AND(E40&gt;GVT!$A$8,E40&lt;=GVT!$C$8),(E40-GVT!$C$7)*GVT!$H$8+GVT!$F$8,IF(AND(E40&gt;GVT!$A$9,E40&lt;=GVT!$C$9),((E40-GVT!$C$8)*GVT!$H$9+GVT!$F$9),((E40-GVT!$A$11)*GVT!$H$11+GVT!$F$11)))))-F40))</f>
        <v>0</v>
      </c>
      <c r="J40" s="100">
        <f>IF(OR(E40="",E40&lt;$M$18),0,(IF(OR(E40="",P!$G$13="H"),0,IF(E40&lt;=GVT!$C$7,E40*GVT!$H$7,IF(AND(E40&gt;GVT!$A$8,E40&lt;=GVT!$C$8),(E40-GVT!$C$7)*GVT!$H$8+GVT!$F$8,IF(AND(E40&gt;GVT!$A$9,E40&lt;=GVT!$C$9),((E40-GVT!$C$8)*GVT!$H$9+GVT!$F$9),((E40-GVT!$A$11)*GVT!$H$11+GVT!$F$11)))))-F40))</f>
        <v>0</v>
      </c>
      <c r="K40" s="102">
        <f t="shared" si="1"/>
        <v>0</v>
      </c>
    </row>
    <row r="41" spans="1:11" ht="15" customHeight="1">
      <c r="A41" s="48">
        <v>31</v>
      </c>
      <c r="B41" s="98">
        <f>IF('BORDRO (Sayfa-2)'!B22="","",'BORDRO (Sayfa-2)'!B22)</f>
      </c>
      <c r="C41" s="18">
        <f>IF('BORDRO (Sayfa-2)'!U22="",0,'BORDRO (Sayfa-2)'!U22)</f>
        <v>0</v>
      </c>
      <c r="D41" s="18">
        <f>IF('BORDRO (Sayfa-2)'!V22="",0,'BORDRO (Sayfa-2)'!V22)</f>
        <v>0</v>
      </c>
      <c r="E41" s="18">
        <f t="shared" si="0"/>
        <v>0</v>
      </c>
      <c r="F41" s="101">
        <f>IF(OR(E41="",P!$G$13="H"),0,IF(C41&lt;=GVT!$C$7,C41*GVT!$H$7,IF(AND(C41&gt;GVT!$A$8,C41&lt;=GVT!$C$8),(C41-GVT!$C$7)*GVT!$H$8+GVT!$F$8,IF(AND(C41&gt;GVT!$A$9,C41&lt;=GVT!$C$9),((C41-GVT!$C$8)*GVT!$H$9+GVT!$F$9),((C41-GVT!$A$11)*GVT!$H$11+GVT!$F$11)))))</f>
        <v>0</v>
      </c>
      <c r="G41" s="100">
        <f>IF(OR(E41="",P!$G$13="H",E41&gt;$O$15),0,(IF(E41&lt;=GVT!$C$7,E41*GVT!$H$7,IF(AND(E41&gt;GVT!$A$8,E41&lt;=GVT!$C$8),(E41-GVT!$C$7)*GVT!$H$8+GVT!$F$8,IF(AND(E41&gt;GVT!$A$9,E41&lt;=GVT!$C$9),((E41-GVT!$C$8)*GVT!$H$9+GVT!$F$9),((E41-GVT!$A$11)*GVT!$H$11+GVT!$F$11)))))-F41)</f>
        <v>0</v>
      </c>
      <c r="H41" s="100">
        <f>IF(OR(E41="",P!$G$13="H",E41&gt;$O$16,E41&lt;$O$15),0,(IF(E41&lt;=GVT!$C$7,E41*GVT!$H$7,IF(AND(E41&gt;GVT!$A$8,E41&lt;=GVT!$C$8),(E41-GVT!$C$7)*GVT!$H$8+GVT!$F$8,IF(AND(E41&gt;GVT!$A$9,E41&lt;=GVT!$C$9),((E41-GVT!$C$8)*GVT!$H$9+GVT!$F$9),((E41-GVT!$A$11)*GVT!$H$11+GVT!$F$11)))))-F41)</f>
        <v>0</v>
      </c>
      <c r="I41" s="100">
        <f>IF(OR(E41="",E41&gt;$O$17,E41&lt;$O$16),0,(IF(OR(E41="",P!$G$13="H"),0,IF(E41&lt;=GVT!$C$7,E41*GVT!$H$7,IF(AND(E41&gt;GVT!$A$8,E41&lt;=GVT!$C$8),(E41-GVT!$C$7)*GVT!$H$8+GVT!$F$8,IF(AND(E41&gt;GVT!$A$9,E41&lt;=GVT!$C$9),((E41-GVT!$C$8)*GVT!$H$9+GVT!$F$9),((E41-GVT!$A$11)*GVT!$H$11+GVT!$F$11)))))-F41))</f>
        <v>0</v>
      </c>
      <c r="J41" s="100">
        <f>IF(OR(E41="",E41&lt;$M$18),0,(IF(OR(E41="",P!$G$13="H"),0,IF(E41&lt;=GVT!$C$7,E41*GVT!$H$7,IF(AND(E41&gt;GVT!$A$8,E41&lt;=GVT!$C$8),(E41-GVT!$C$7)*GVT!$H$8+GVT!$F$8,IF(AND(E41&gt;GVT!$A$9,E41&lt;=GVT!$C$9),((E41-GVT!$C$8)*GVT!$H$9+GVT!$F$9),((E41-GVT!$A$11)*GVT!$H$11+GVT!$F$11)))))-F41))</f>
        <v>0</v>
      </c>
      <c r="K41" s="102">
        <f t="shared" si="1"/>
        <v>0</v>
      </c>
    </row>
    <row r="42" spans="1:11" ht="15" customHeight="1">
      <c r="A42" s="48">
        <v>32</v>
      </c>
      <c r="B42" s="98">
        <f>IF('BORDRO (Sayfa-2)'!B23="","",'BORDRO (Sayfa-2)'!B23)</f>
      </c>
      <c r="C42" s="18">
        <f>IF('BORDRO (Sayfa-2)'!U23="",0,'BORDRO (Sayfa-2)'!U23)</f>
        <v>0</v>
      </c>
      <c r="D42" s="18">
        <f>IF('BORDRO (Sayfa-2)'!V23="",0,'BORDRO (Sayfa-2)'!V23)</f>
        <v>0</v>
      </c>
      <c r="E42" s="18">
        <f t="shared" si="0"/>
        <v>0</v>
      </c>
      <c r="F42" s="101">
        <f>IF(OR(E42="",P!$G$13="H"),0,IF(C42&lt;=GVT!$C$7,C42*GVT!$H$7,IF(AND(C42&gt;GVT!$A$8,C42&lt;=GVT!$C$8),(C42-GVT!$C$7)*GVT!$H$8+GVT!$F$8,IF(AND(C42&gt;GVT!$A$9,C42&lt;=GVT!$C$9),((C42-GVT!$C$8)*GVT!$H$9+GVT!$F$9),((C42-GVT!$A$11)*GVT!$H$11+GVT!$F$11)))))</f>
        <v>0</v>
      </c>
      <c r="G42" s="100">
        <f>IF(OR(E42="",P!$G$13="H",E42&gt;$O$15),0,(IF(E42&lt;=GVT!$C$7,E42*GVT!$H$7,IF(AND(E42&gt;GVT!$A$8,E42&lt;=GVT!$C$8),(E42-GVT!$C$7)*GVT!$H$8+GVT!$F$8,IF(AND(E42&gt;GVT!$A$9,E42&lt;=GVT!$C$9),((E42-GVT!$C$8)*GVT!$H$9+GVT!$F$9),((E42-GVT!$A$11)*GVT!$H$11+GVT!$F$11)))))-F42)</f>
        <v>0</v>
      </c>
      <c r="H42" s="100">
        <f>IF(OR(E42="",P!$G$13="H",E42&gt;$O$16,E42&lt;$O$15),0,(IF(E42&lt;=GVT!$C$7,E42*GVT!$H$7,IF(AND(E42&gt;GVT!$A$8,E42&lt;=GVT!$C$8),(E42-GVT!$C$7)*GVT!$H$8+GVT!$F$8,IF(AND(E42&gt;GVT!$A$9,E42&lt;=GVT!$C$9),((E42-GVT!$C$8)*GVT!$H$9+GVT!$F$9),((E42-GVT!$A$11)*GVT!$H$11+GVT!$F$11)))))-F42)</f>
        <v>0</v>
      </c>
      <c r="I42" s="100">
        <f>IF(OR(E42="",E42&gt;$O$17,E42&lt;$O$16),0,(IF(OR(E42="",P!$G$13="H"),0,IF(E42&lt;=GVT!$C$7,E42*GVT!$H$7,IF(AND(E42&gt;GVT!$A$8,E42&lt;=GVT!$C$8),(E42-GVT!$C$7)*GVT!$H$8+GVT!$F$8,IF(AND(E42&gt;GVT!$A$9,E42&lt;=GVT!$C$9),((E42-GVT!$C$8)*GVT!$H$9+GVT!$F$9),((E42-GVT!$A$11)*GVT!$H$11+GVT!$F$11)))))-F42))</f>
        <v>0</v>
      </c>
      <c r="J42" s="100">
        <f>IF(OR(E42="",E42&lt;$M$18),0,(IF(OR(E42="",P!$G$13="H"),0,IF(E42&lt;=GVT!$C$7,E42*GVT!$H$7,IF(AND(E42&gt;GVT!$A$8,E42&lt;=GVT!$C$8),(E42-GVT!$C$7)*GVT!$H$8+GVT!$F$8,IF(AND(E42&gt;GVT!$A$9,E42&lt;=GVT!$C$9),((E42-GVT!$C$8)*GVT!$H$9+GVT!$F$9),((E42-GVT!$A$11)*GVT!$H$11+GVT!$F$11)))))-F42))</f>
        <v>0</v>
      </c>
      <c r="K42" s="102">
        <f t="shared" si="1"/>
        <v>0</v>
      </c>
    </row>
    <row r="43" spans="1:11" ht="15" customHeight="1">
      <c r="A43" s="48">
        <v>33</v>
      </c>
      <c r="B43" s="98">
        <f>IF('BORDRO (Sayfa-2)'!B24="","",'BORDRO (Sayfa-2)'!B24)</f>
      </c>
      <c r="C43" s="18">
        <f>IF('BORDRO (Sayfa-2)'!U24="",0,'BORDRO (Sayfa-2)'!U24)</f>
        <v>0</v>
      </c>
      <c r="D43" s="18">
        <f>IF('BORDRO (Sayfa-2)'!V24="",0,'BORDRO (Sayfa-2)'!V24)</f>
        <v>0</v>
      </c>
      <c r="E43" s="18">
        <f t="shared" si="0"/>
        <v>0</v>
      </c>
      <c r="F43" s="101">
        <f>IF(OR(E43="",P!$G$13="H"),0,IF(C43&lt;=GVT!$C$7,C43*GVT!$H$7,IF(AND(C43&gt;GVT!$A$8,C43&lt;=GVT!$C$8),(C43-GVT!$C$7)*GVT!$H$8+GVT!$F$8,IF(AND(C43&gt;GVT!$A$9,C43&lt;=GVT!$C$9),((C43-GVT!$C$8)*GVT!$H$9+GVT!$F$9),((C43-GVT!$A$11)*GVT!$H$11+GVT!$F$11)))))</f>
        <v>0</v>
      </c>
      <c r="G43" s="100">
        <f>IF(OR(E43="",P!$G$13="H",E43&gt;$O$15),0,(IF(E43&lt;=GVT!$C$7,E43*GVT!$H$7,IF(AND(E43&gt;GVT!$A$8,E43&lt;=GVT!$C$8),(E43-GVT!$C$7)*GVT!$H$8+GVT!$F$8,IF(AND(E43&gt;GVT!$A$9,E43&lt;=GVT!$C$9),((E43-GVT!$C$8)*GVT!$H$9+GVT!$F$9),((E43-GVT!$A$11)*GVT!$H$11+GVT!$F$11)))))-F43)</f>
        <v>0</v>
      </c>
      <c r="H43" s="100">
        <f>IF(OR(E43="",P!$G$13="H",E43&gt;$O$16,E43&lt;$O$15),0,(IF(E43&lt;=GVT!$C$7,E43*GVT!$H$7,IF(AND(E43&gt;GVT!$A$8,E43&lt;=GVT!$C$8),(E43-GVT!$C$7)*GVT!$H$8+GVT!$F$8,IF(AND(E43&gt;GVT!$A$9,E43&lt;=GVT!$C$9),((E43-GVT!$C$8)*GVT!$H$9+GVT!$F$9),((E43-GVT!$A$11)*GVT!$H$11+GVT!$F$11)))))-F43)</f>
        <v>0</v>
      </c>
      <c r="I43" s="100">
        <f>IF(OR(E43="",E43&gt;$O$17,E43&lt;$O$16),0,(IF(OR(E43="",P!$G$13="H"),0,IF(E43&lt;=GVT!$C$7,E43*GVT!$H$7,IF(AND(E43&gt;GVT!$A$8,E43&lt;=GVT!$C$8),(E43-GVT!$C$7)*GVT!$H$8+GVT!$F$8,IF(AND(E43&gt;GVT!$A$9,E43&lt;=GVT!$C$9),((E43-GVT!$C$8)*GVT!$H$9+GVT!$F$9),((E43-GVT!$A$11)*GVT!$H$11+GVT!$F$11)))))-F43))</f>
        <v>0</v>
      </c>
      <c r="J43" s="100">
        <f>IF(OR(E43="",E43&lt;$M$18),0,(IF(OR(E43="",P!$G$13="H"),0,IF(E43&lt;=GVT!$C$7,E43*GVT!$H$7,IF(AND(E43&gt;GVT!$A$8,E43&lt;=GVT!$C$8),(E43-GVT!$C$7)*GVT!$H$8+GVT!$F$8,IF(AND(E43&gt;GVT!$A$9,E43&lt;=GVT!$C$9),((E43-GVT!$C$8)*GVT!$H$9+GVT!$F$9),((E43-GVT!$A$11)*GVT!$H$11+GVT!$F$11)))))-F43))</f>
        <v>0</v>
      </c>
      <c r="K43" s="102">
        <f t="shared" si="1"/>
        <v>0</v>
      </c>
    </row>
    <row r="44" spans="1:11" ht="15" customHeight="1">
      <c r="A44" s="48">
        <v>34</v>
      </c>
      <c r="B44" s="98">
        <f>IF('BORDRO (Sayfa-2)'!B25="","",'BORDRO (Sayfa-2)'!B25)</f>
      </c>
      <c r="C44" s="18">
        <f>IF('BORDRO (Sayfa-2)'!U25="",0,'BORDRO (Sayfa-2)'!U25)</f>
        <v>0</v>
      </c>
      <c r="D44" s="18">
        <f>IF('BORDRO (Sayfa-2)'!V25="",0,'BORDRO (Sayfa-2)'!V25)</f>
        <v>0</v>
      </c>
      <c r="E44" s="18">
        <f t="shared" si="0"/>
        <v>0</v>
      </c>
      <c r="F44" s="101">
        <f>IF(OR(E44="",P!$G$13="H"),0,IF(C44&lt;=GVT!$C$7,C44*GVT!$H$7,IF(AND(C44&gt;GVT!$A$8,C44&lt;=GVT!$C$8),(C44-GVT!$C$7)*GVT!$H$8+GVT!$F$8,IF(AND(C44&gt;GVT!$A$9,C44&lt;=GVT!$C$9),((C44-GVT!$C$8)*GVT!$H$9+GVT!$F$9),((C44-GVT!$A$11)*GVT!$H$11+GVT!$F$11)))))</f>
        <v>0</v>
      </c>
      <c r="G44" s="100">
        <f>IF(OR(E44="",P!$G$13="H",E44&gt;$O$15),0,(IF(E44&lt;=GVT!$C$7,E44*GVT!$H$7,IF(AND(E44&gt;GVT!$A$8,E44&lt;=GVT!$C$8),(E44-GVT!$C$7)*GVT!$H$8+GVT!$F$8,IF(AND(E44&gt;GVT!$A$9,E44&lt;=GVT!$C$9),((E44-GVT!$C$8)*GVT!$H$9+GVT!$F$9),((E44-GVT!$A$11)*GVT!$H$11+GVT!$F$11)))))-F44)</f>
        <v>0</v>
      </c>
      <c r="H44" s="100">
        <f>IF(OR(E44="",P!$G$13="H",E44&gt;$O$16,E44&lt;$O$15),0,(IF(E44&lt;=GVT!$C$7,E44*GVT!$H$7,IF(AND(E44&gt;GVT!$A$8,E44&lt;=GVT!$C$8),(E44-GVT!$C$7)*GVT!$H$8+GVT!$F$8,IF(AND(E44&gt;GVT!$A$9,E44&lt;=GVT!$C$9),((E44-GVT!$C$8)*GVT!$H$9+GVT!$F$9),((E44-GVT!$A$11)*GVT!$H$11+GVT!$F$11)))))-F44)</f>
        <v>0</v>
      </c>
      <c r="I44" s="100">
        <f>IF(OR(E44="",E44&gt;$O$17,E44&lt;$O$16),0,(IF(OR(E44="",P!$G$13="H"),0,IF(E44&lt;=GVT!$C$7,E44*GVT!$H$7,IF(AND(E44&gt;GVT!$A$8,E44&lt;=GVT!$C$8),(E44-GVT!$C$7)*GVT!$H$8+GVT!$F$8,IF(AND(E44&gt;GVT!$A$9,E44&lt;=GVT!$C$9),((E44-GVT!$C$8)*GVT!$H$9+GVT!$F$9),((E44-GVT!$A$11)*GVT!$H$11+GVT!$F$11)))))-F44))</f>
        <v>0</v>
      </c>
      <c r="J44" s="100">
        <f>IF(OR(E44="",E44&lt;$M$18),0,(IF(OR(E44="",P!$G$13="H"),0,IF(E44&lt;=GVT!$C$7,E44*GVT!$H$7,IF(AND(E44&gt;GVT!$A$8,E44&lt;=GVT!$C$8),(E44-GVT!$C$7)*GVT!$H$8+GVT!$F$8,IF(AND(E44&gt;GVT!$A$9,E44&lt;=GVT!$C$9),((E44-GVT!$C$8)*GVT!$H$9+GVT!$F$9),((E44-GVT!$A$11)*GVT!$H$11+GVT!$F$11)))))-F44))</f>
        <v>0</v>
      </c>
      <c r="K44" s="102">
        <f t="shared" si="1"/>
        <v>0</v>
      </c>
    </row>
    <row r="45" spans="1:11" ht="15" customHeight="1">
      <c r="A45" s="48">
        <v>35</v>
      </c>
      <c r="B45" s="98">
        <f>IF('BORDRO (Sayfa-2)'!B26="","",'BORDRO (Sayfa-2)'!B26)</f>
      </c>
      <c r="C45" s="18">
        <f>IF('BORDRO (Sayfa-2)'!U26="",0,'BORDRO (Sayfa-2)'!U26)</f>
        <v>0</v>
      </c>
      <c r="D45" s="18">
        <f>IF('BORDRO (Sayfa-2)'!V26="",0,'BORDRO (Sayfa-2)'!V26)</f>
        <v>0</v>
      </c>
      <c r="E45" s="18">
        <f t="shared" si="0"/>
        <v>0</v>
      </c>
      <c r="F45" s="101">
        <f>IF(OR(E45="",P!$G$13="H"),0,IF(C45&lt;=GVT!$C$7,C45*GVT!$H$7,IF(AND(C45&gt;GVT!$A$8,C45&lt;=GVT!$C$8),(C45-GVT!$C$7)*GVT!$H$8+GVT!$F$8,IF(AND(C45&gt;GVT!$A$9,C45&lt;=GVT!$C$9),((C45-GVT!$C$8)*GVT!$H$9+GVT!$F$9),((C45-GVT!$A$11)*GVT!$H$11+GVT!$F$11)))))</f>
        <v>0</v>
      </c>
      <c r="G45" s="100">
        <f>IF(OR(E45="",P!$G$13="H",E45&gt;$O$15),0,(IF(E45&lt;=GVT!$C$7,E45*GVT!$H$7,IF(AND(E45&gt;GVT!$A$8,E45&lt;=GVT!$C$8),(E45-GVT!$C$7)*GVT!$H$8+GVT!$F$8,IF(AND(E45&gt;GVT!$A$9,E45&lt;=GVT!$C$9),((E45-GVT!$C$8)*GVT!$H$9+GVT!$F$9),((E45-GVT!$A$11)*GVT!$H$11+GVT!$F$11)))))-F45)</f>
        <v>0</v>
      </c>
      <c r="H45" s="100">
        <f>IF(OR(E45="",P!$G$13="H",E45&gt;$O$16,E45&lt;$O$15),0,(IF(E45&lt;=GVT!$C$7,E45*GVT!$H$7,IF(AND(E45&gt;GVT!$A$8,E45&lt;=GVT!$C$8),(E45-GVT!$C$7)*GVT!$H$8+GVT!$F$8,IF(AND(E45&gt;GVT!$A$9,E45&lt;=GVT!$C$9),((E45-GVT!$C$8)*GVT!$H$9+GVT!$F$9),((E45-GVT!$A$11)*GVT!$H$11+GVT!$F$11)))))-F45)</f>
        <v>0</v>
      </c>
      <c r="I45" s="100">
        <f>IF(OR(E45="",E45&gt;$O$17,E45&lt;$O$16),0,(IF(OR(E45="",P!$G$13="H"),0,IF(E45&lt;=GVT!$C$7,E45*GVT!$H$7,IF(AND(E45&gt;GVT!$A$8,E45&lt;=GVT!$C$8),(E45-GVT!$C$7)*GVT!$H$8+GVT!$F$8,IF(AND(E45&gt;GVT!$A$9,E45&lt;=GVT!$C$9),((E45-GVT!$C$8)*GVT!$H$9+GVT!$F$9),((E45-GVT!$A$11)*GVT!$H$11+GVT!$F$11)))))-F45))</f>
        <v>0</v>
      </c>
      <c r="J45" s="100">
        <f>IF(OR(E45="",E45&lt;$M$18),0,(IF(OR(E45="",P!$G$13="H"),0,IF(E45&lt;=GVT!$C$7,E45*GVT!$H$7,IF(AND(E45&gt;GVT!$A$8,E45&lt;=GVT!$C$8),(E45-GVT!$C$7)*GVT!$H$8+GVT!$F$8,IF(AND(E45&gt;GVT!$A$9,E45&lt;=GVT!$C$9),((E45-GVT!$C$8)*GVT!$H$9+GVT!$F$9),((E45-GVT!$A$11)*GVT!$H$11+GVT!$F$11)))))-F45))</f>
        <v>0</v>
      </c>
      <c r="K45" s="102">
        <f t="shared" si="1"/>
        <v>0</v>
      </c>
    </row>
    <row r="46" spans="1:11" ht="15" customHeight="1">
      <c r="A46" s="48">
        <v>36</v>
      </c>
      <c r="B46" s="98">
        <f>IF('BORDRO (Sayfa-2)'!B27="","",'BORDRO (Sayfa-2)'!B27)</f>
      </c>
      <c r="C46" s="18">
        <f>IF('BORDRO (Sayfa-2)'!U27="",0,'BORDRO (Sayfa-2)'!U27)</f>
        <v>0</v>
      </c>
      <c r="D46" s="18">
        <f>IF('BORDRO (Sayfa-2)'!V27="",0,'BORDRO (Sayfa-2)'!V27)</f>
        <v>0</v>
      </c>
      <c r="E46" s="18">
        <f t="shared" si="0"/>
        <v>0</v>
      </c>
      <c r="F46" s="101">
        <f>IF(OR(E46="",P!$G$13="H"),0,IF(C46&lt;=GVT!$C$7,C46*GVT!$H$7,IF(AND(C46&gt;GVT!$A$8,C46&lt;=GVT!$C$8),(C46-GVT!$C$7)*GVT!$H$8+GVT!$F$8,IF(AND(C46&gt;GVT!$A$9,C46&lt;=GVT!$C$9),((C46-GVT!$C$8)*GVT!$H$9+GVT!$F$9),((C46-GVT!$A$11)*GVT!$H$11+GVT!$F$11)))))</f>
        <v>0</v>
      </c>
      <c r="G46" s="100">
        <f>IF(OR(E46="",P!$G$13="H",E46&gt;$O$15),0,(IF(E46&lt;=GVT!$C$7,E46*GVT!$H$7,IF(AND(E46&gt;GVT!$A$8,E46&lt;=GVT!$C$8),(E46-GVT!$C$7)*GVT!$H$8+GVT!$F$8,IF(AND(E46&gt;GVT!$A$9,E46&lt;=GVT!$C$9),((E46-GVT!$C$8)*GVT!$H$9+GVT!$F$9),((E46-GVT!$A$11)*GVT!$H$11+GVT!$F$11)))))-F46)</f>
        <v>0</v>
      </c>
      <c r="H46" s="100">
        <f>IF(OR(E46="",P!$G$13="H",E46&gt;$O$16,E46&lt;$O$15),0,(IF(E46&lt;=GVT!$C$7,E46*GVT!$H$7,IF(AND(E46&gt;GVT!$A$8,E46&lt;=GVT!$C$8),(E46-GVT!$C$7)*GVT!$H$8+GVT!$F$8,IF(AND(E46&gt;GVT!$A$9,E46&lt;=GVT!$C$9),((E46-GVT!$C$8)*GVT!$H$9+GVT!$F$9),((E46-GVT!$A$11)*GVT!$H$11+GVT!$F$11)))))-F46)</f>
        <v>0</v>
      </c>
      <c r="I46" s="100">
        <f>IF(OR(E46="",E46&gt;$O$17,E46&lt;$O$16),0,(IF(OR(E46="",P!$G$13="H"),0,IF(E46&lt;=GVT!$C$7,E46*GVT!$H$7,IF(AND(E46&gt;GVT!$A$8,E46&lt;=GVT!$C$8),(E46-GVT!$C$7)*GVT!$H$8+GVT!$F$8,IF(AND(E46&gt;GVT!$A$9,E46&lt;=GVT!$C$9),((E46-GVT!$C$8)*GVT!$H$9+GVT!$F$9),((E46-GVT!$A$11)*GVT!$H$11+GVT!$F$11)))))-F46))</f>
        <v>0</v>
      </c>
      <c r="J46" s="100">
        <f>IF(OR(E46="",E46&lt;$M$18),0,(IF(OR(E46="",P!$G$13="H"),0,IF(E46&lt;=GVT!$C$7,E46*GVT!$H$7,IF(AND(E46&gt;GVT!$A$8,E46&lt;=GVT!$C$8),(E46-GVT!$C$7)*GVT!$H$8+GVT!$F$8,IF(AND(E46&gt;GVT!$A$9,E46&lt;=GVT!$C$9),((E46-GVT!$C$8)*GVT!$H$9+GVT!$F$9),((E46-GVT!$A$11)*GVT!$H$11+GVT!$F$11)))))-F46))</f>
        <v>0</v>
      </c>
      <c r="K46" s="102">
        <f t="shared" si="1"/>
        <v>0</v>
      </c>
    </row>
    <row r="47" spans="1:11" ht="15" customHeight="1">
      <c r="A47" s="48">
        <v>37</v>
      </c>
      <c r="B47" s="98">
        <f>IF('BORDRO (Sayfa-2)'!B28="","",'BORDRO (Sayfa-2)'!B28)</f>
      </c>
      <c r="C47" s="18">
        <f>IF('BORDRO (Sayfa-2)'!U28="",0,'BORDRO (Sayfa-2)'!U28)</f>
        <v>0</v>
      </c>
      <c r="D47" s="18">
        <f>IF('BORDRO (Sayfa-2)'!V28="",0,'BORDRO (Sayfa-2)'!V28)</f>
        <v>0</v>
      </c>
      <c r="E47" s="18">
        <f t="shared" si="0"/>
        <v>0</v>
      </c>
      <c r="F47" s="101">
        <f>IF(OR(E47="",P!$G$13="H"),0,IF(C47&lt;=GVT!$C$7,C47*GVT!$H$7,IF(AND(C47&gt;GVT!$A$8,C47&lt;=GVT!$C$8),(C47-GVT!$C$7)*GVT!$H$8+GVT!$F$8,IF(AND(C47&gt;GVT!$A$9,C47&lt;=GVT!$C$9),((C47-GVT!$C$8)*GVT!$H$9+GVT!$F$9),((C47-GVT!$A$11)*GVT!$H$11+GVT!$F$11)))))</f>
        <v>0</v>
      </c>
      <c r="G47" s="100">
        <f>IF(OR(E47="",P!$G$13="H",E47&gt;$O$15),0,(IF(E47&lt;=GVT!$C$7,E47*GVT!$H$7,IF(AND(E47&gt;GVT!$A$8,E47&lt;=GVT!$C$8),(E47-GVT!$C$7)*GVT!$H$8+GVT!$F$8,IF(AND(E47&gt;GVT!$A$9,E47&lt;=GVT!$C$9),((E47-GVT!$C$8)*GVT!$H$9+GVT!$F$9),((E47-GVT!$A$11)*GVT!$H$11+GVT!$F$11)))))-F47)</f>
        <v>0</v>
      </c>
      <c r="H47" s="100">
        <f>IF(OR(E47="",P!$G$13="H",E47&gt;$O$16,E47&lt;$O$15),0,(IF(E47&lt;=GVT!$C$7,E47*GVT!$H$7,IF(AND(E47&gt;GVT!$A$8,E47&lt;=GVT!$C$8),(E47-GVT!$C$7)*GVT!$H$8+GVT!$F$8,IF(AND(E47&gt;GVT!$A$9,E47&lt;=GVT!$C$9),((E47-GVT!$C$8)*GVT!$H$9+GVT!$F$9),((E47-GVT!$A$11)*GVT!$H$11+GVT!$F$11)))))-F47)</f>
        <v>0</v>
      </c>
      <c r="I47" s="100">
        <f>IF(OR(E47="",E47&gt;$O$17,E47&lt;$O$16),0,(IF(OR(E47="",P!$G$13="H"),0,IF(E47&lt;=GVT!$C$7,E47*GVT!$H$7,IF(AND(E47&gt;GVT!$A$8,E47&lt;=GVT!$C$8),(E47-GVT!$C$7)*GVT!$H$8+GVT!$F$8,IF(AND(E47&gt;GVT!$A$9,E47&lt;=GVT!$C$9),((E47-GVT!$C$8)*GVT!$H$9+GVT!$F$9),((E47-GVT!$A$11)*GVT!$H$11+GVT!$F$11)))))-F47))</f>
        <v>0</v>
      </c>
      <c r="J47" s="100">
        <f>IF(OR(E47="",E47&lt;$M$18),0,(IF(OR(E47="",P!$G$13="H"),0,IF(E47&lt;=GVT!$C$7,E47*GVT!$H$7,IF(AND(E47&gt;GVT!$A$8,E47&lt;=GVT!$C$8),(E47-GVT!$C$7)*GVT!$H$8+GVT!$F$8,IF(AND(E47&gt;GVT!$A$9,E47&lt;=GVT!$C$9),((E47-GVT!$C$8)*GVT!$H$9+GVT!$F$9),((E47-GVT!$A$11)*GVT!$H$11+GVT!$F$11)))))-F47))</f>
        <v>0</v>
      </c>
      <c r="K47" s="102">
        <f t="shared" si="1"/>
        <v>0</v>
      </c>
    </row>
    <row r="48" spans="1:11" ht="15" customHeight="1">
      <c r="A48" s="48">
        <v>38</v>
      </c>
      <c r="B48" s="98">
        <f>IF('BORDRO (Sayfa-2)'!B29="","",'BORDRO (Sayfa-2)'!B29)</f>
      </c>
      <c r="C48" s="18">
        <f>IF('BORDRO (Sayfa-2)'!U29="",0,'BORDRO (Sayfa-2)'!U29)</f>
        <v>0</v>
      </c>
      <c r="D48" s="18">
        <f>IF('BORDRO (Sayfa-2)'!V29="",0,'BORDRO (Sayfa-2)'!V29)</f>
        <v>0</v>
      </c>
      <c r="E48" s="18">
        <f t="shared" si="0"/>
        <v>0</v>
      </c>
      <c r="F48" s="101">
        <f>IF(OR(E48="",P!$G$13="H"),0,IF(C48&lt;=GVT!$C$7,C48*GVT!$H$7,IF(AND(C48&gt;GVT!$A$8,C48&lt;=GVT!$C$8),(C48-GVT!$C$7)*GVT!$H$8+GVT!$F$8,IF(AND(C48&gt;GVT!$A$9,C48&lt;=GVT!$C$9),((C48-GVT!$C$8)*GVT!$H$9+GVT!$F$9),((C48-GVT!$A$11)*GVT!$H$11+GVT!$F$11)))))</f>
        <v>0</v>
      </c>
      <c r="G48" s="100">
        <f>IF(OR(E48="",P!$G$13="H",E48&gt;$O$15),0,(IF(E48&lt;=GVT!$C$7,E48*GVT!$H$7,IF(AND(E48&gt;GVT!$A$8,E48&lt;=GVT!$C$8),(E48-GVT!$C$7)*GVT!$H$8+GVT!$F$8,IF(AND(E48&gt;GVT!$A$9,E48&lt;=GVT!$C$9),((E48-GVT!$C$8)*GVT!$H$9+GVT!$F$9),((E48-GVT!$A$11)*GVT!$H$11+GVT!$F$11)))))-F48)</f>
        <v>0</v>
      </c>
      <c r="H48" s="100">
        <f>IF(OR(E48="",P!$G$13="H",E48&gt;$O$16,E48&lt;$O$15),0,(IF(E48&lt;=GVT!$C$7,E48*GVT!$H$7,IF(AND(E48&gt;GVT!$A$8,E48&lt;=GVT!$C$8),(E48-GVT!$C$7)*GVT!$H$8+GVT!$F$8,IF(AND(E48&gt;GVT!$A$9,E48&lt;=GVT!$C$9),((E48-GVT!$C$8)*GVT!$H$9+GVT!$F$9),((E48-GVT!$A$11)*GVT!$H$11+GVT!$F$11)))))-F48)</f>
        <v>0</v>
      </c>
      <c r="I48" s="100">
        <f>IF(OR(E48="",E48&gt;$O$17,E48&lt;$O$16),0,(IF(OR(E48="",P!$G$13="H"),0,IF(E48&lt;=GVT!$C$7,E48*GVT!$H$7,IF(AND(E48&gt;GVT!$A$8,E48&lt;=GVT!$C$8),(E48-GVT!$C$7)*GVT!$H$8+GVT!$F$8,IF(AND(E48&gt;GVT!$A$9,E48&lt;=GVT!$C$9),((E48-GVT!$C$8)*GVT!$H$9+GVT!$F$9),((E48-GVT!$A$11)*GVT!$H$11+GVT!$F$11)))))-F48))</f>
        <v>0</v>
      </c>
      <c r="J48" s="100">
        <f>IF(OR(E48="",E48&lt;$M$18),0,(IF(OR(E48="",P!$G$13="H"),0,IF(E48&lt;=GVT!$C$7,E48*GVT!$H$7,IF(AND(E48&gt;GVT!$A$8,E48&lt;=GVT!$C$8),(E48-GVT!$C$7)*GVT!$H$8+GVT!$F$8,IF(AND(E48&gt;GVT!$A$9,E48&lt;=GVT!$C$9),((E48-GVT!$C$8)*GVT!$H$9+GVT!$F$9),((E48-GVT!$A$11)*GVT!$H$11+GVT!$F$11)))))-F48))</f>
        <v>0</v>
      </c>
      <c r="K48" s="102">
        <f t="shared" si="1"/>
        <v>0</v>
      </c>
    </row>
    <row r="49" spans="1:11" ht="15" customHeight="1">
      <c r="A49" s="48">
        <v>39</v>
      </c>
      <c r="B49" s="98">
        <f>IF('BORDRO (Sayfa-2)'!B30="","",'BORDRO (Sayfa-2)'!B30)</f>
      </c>
      <c r="C49" s="18">
        <f>IF('BORDRO (Sayfa-2)'!U30="",0,'BORDRO (Sayfa-2)'!U30)</f>
        <v>0</v>
      </c>
      <c r="D49" s="18">
        <f>IF('BORDRO (Sayfa-2)'!V30="",0,'BORDRO (Sayfa-2)'!V30)</f>
        <v>0</v>
      </c>
      <c r="E49" s="18">
        <f t="shared" si="0"/>
        <v>0</v>
      </c>
      <c r="F49" s="101">
        <f>IF(OR(E49="",P!$G$13="H"),0,IF(C49&lt;=GVT!$C$7,C49*GVT!$H$7,IF(AND(C49&gt;GVT!$A$8,C49&lt;=GVT!$C$8),(C49-GVT!$C$7)*GVT!$H$8+GVT!$F$8,IF(AND(C49&gt;GVT!$A$9,C49&lt;=GVT!$C$9),((C49-GVT!$C$8)*GVT!$H$9+GVT!$F$9),((C49-GVT!$A$11)*GVT!$H$11+GVT!$F$11)))))</f>
        <v>0</v>
      </c>
      <c r="G49" s="100">
        <f>IF(OR(E49="",P!$G$13="H",E49&gt;$O$15),0,(IF(E49&lt;=GVT!$C$7,E49*GVT!$H$7,IF(AND(E49&gt;GVT!$A$8,E49&lt;=GVT!$C$8),(E49-GVT!$C$7)*GVT!$H$8+GVT!$F$8,IF(AND(E49&gt;GVT!$A$9,E49&lt;=GVT!$C$9),((E49-GVT!$C$8)*GVT!$H$9+GVT!$F$9),((E49-GVT!$A$11)*GVT!$H$11+GVT!$F$11)))))-F49)</f>
        <v>0</v>
      </c>
      <c r="H49" s="100">
        <f>IF(OR(E49="",P!$G$13="H",E49&gt;$O$16,E49&lt;$O$15),0,(IF(E49&lt;=GVT!$C$7,E49*GVT!$H$7,IF(AND(E49&gt;GVT!$A$8,E49&lt;=GVT!$C$8),(E49-GVT!$C$7)*GVT!$H$8+GVT!$F$8,IF(AND(E49&gt;GVT!$A$9,E49&lt;=GVT!$C$9),((E49-GVT!$C$8)*GVT!$H$9+GVT!$F$9),((E49-GVT!$A$11)*GVT!$H$11+GVT!$F$11)))))-F49)</f>
        <v>0</v>
      </c>
      <c r="I49" s="100">
        <f>IF(OR(E49="",E49&gt;$O$17,E49&lt;$O$16),0,(IF(OR(E49="",P!$G$13="H"),0,IF(E49&lt;=GVT!$C$7,E49*GVT!$H$7,IF(AND(E49&gt;GVT!$A$8,E49&lt;=GVT!$C$8),(E49-GVT!$C$7)*GVT!$H$8+GVT!$F$8,IF(AND(E49&gt;GVT!$A$9,E49&lt;=GVT!$C$9),((E49-GVT!$C$8)*GVT!$H$9+GVT!$F$9),((E49-GVT!$A$11)*GVT!$H$11+GVT!$F$11)))))-F49))</f>
        <v>0</v>
      </c>
      <c r="J49" s="100">
        <f>IF(OR(E49="",E49&lt;$M$18),0,(IF(OR(E49="",P!$G$13="H"),0,IF(E49&lt;=GVT!$C$7,E49*GVT!$H$7,IF(AND(E49&gt;GVT!$A$8,E49&lt;=GVT!$C$8),(E49-GVT!$C$7)*GVT!$H$8+GVT!$F$8,IF(AND(E49&gt;GVT!$A$9,E49&lt;=GVT!$C$9),((E49-GVT!$C$8)*GVT!$H$9+GVT!$F$9),((E49-GVT!$A$11)*GVT!$H$11+GVT!$F$11)))))-F49))</f>
        <v>0</v>
      </c>
      <c r="K49" s="102">
        <f t="shared" si="1"/>
        <v>0</v>
      </c>
    </row>
    <row r="50" spans="1:11" ht="15" customHeight="1">
      <c r="A50" s="48">
        <v>40</v>
      </c>
      <c r="B50" s="98">
        <f>IF('BORDRO (Sayfa-2)'!B31="","",'BORDRO (Sayfa-2)'!B31)</f>
      </c>
      <c r="C50" s="18">
        <f>IF('BORDRO (Sayfa-2)'!U31="",0,'BORDRO (Sayfa-2)'!U31)</f>
        <v>0</v>
      </c>
      <c r="D50" s="18">
        <f>IF('BORDRO (Sayfa-2)'!V31="",0,'BORDRO (Sayfa-2)'!V31)</f>
        <v>0</v>
      </c>
      <c r="E50" s="18">
        <f t="shared" si="0"/>
        <v>0</v>
      </c>
      <c r="F50" s="101">
        <f>IF(OR(E50="",P!$G$13="H"),0,IF(C50&lt;=GVT!$C$7,C50*GVT!$H$7,IF(AND(C50&gt;GVT!$A$8,C50&lt;=GVT!$C$8),(C50-GVT!$C$7)*GVT!$H$8+GVT!$F$8,IF(AND(C50&gt;GVT!$A$9,C50&lt;=GVT!$C$9),((C50-GVT!$C$8)*GVT!$H$9+GVT!$F$9),((C50-GVT!$A$11)*GVT!$H$11+GVT!$F$11)))))</f>
        <v>0</v>
      </c>
      <c r="G50" s="100">
        <f>IF(OR(E50="",P!$G$13="H",E50&gt;$O$15),0,(IF(E50&lt;=GVT!$C$7,E50*GVT!$H$7,IF(AND(E50&gt;GVT!$A$8,E50&lt;=GVT!$C$8),(E50-GVT!$C$7)*GVT!$H$8+GVT!$F$8,IF(AND(E50&gt;GVT!$A$9,E50&lt;=GVT!$C$9),((E50-GVT!$C$8)*GVT!$H$9+GVT!$F$9),((E50-GVT!$A$11)*GVT!$H$11+GVT!$F$11)))))-F50)</f>
        <v>0</v>
      </c>
      <c r="H50" s="100">
        <f>IF(OR(E50="",P!$G$13="H",E50&gt;$O$16,E50&lt;$O$15),0,(IF(E50&lt;=GVT!$C$7,E50*GVT!$H$7,IF(AND(E50&gt;GVT!$A$8,E50&lt;=GVT!$C$8),(E50-GVT!$C$7)*GVT!$H$8+GVT!$F$8,IF(AND(E50&gt;GVT!$A$9,E50&lt;=GVT!$C$9),((E50-GVT!$C$8)*GVT!$H$9+GVT!$F$9),((E50-GVT!$A$11)*GVT!$H$11+GVT!$F$11)))))-F50)</f>
        <v>0</v>
      </c>
      <c r="I50" s="100">
        <f>IF(OR(E50="",E50&gt;$O$17,E50&lt;$O$16),0,(IF(OR(E50="",P!$G$13="H"),0,IF(E50&lt;=GVT!$C$7,E50*GVT!$H$7,IF(AND(E50&gt;GVT!$A$8,E50&lt;=GVT!$C$8),(E50-GVT!$C$7)*GVT!$H$8+GVT!$F$8,IF(AND(E50&gt;GVT!$A$9,E50&lt;=GVT!$C$9),((E50-GVT!$C$8)*GVT!$H$9+GVT!$F$9),((E50-GVT!$A$11)*GVT!$H$11+GVT!$F$11)))))-F50))</f>
        <v>0</v>
      </c>
      <c r="J50" s="100">
        <f>IF(OR(E50="",E50&lt;$M$18),0,(IF(OR(E50="",P!$G$13="H"),0,IF(E50&lt;=GVT!$C$7,E50*GVT!$H$7,IF(AND(E50&gt;GVT!$A$8,E50&lt;=GVT!$C$8),(E50-GVT!$C$7)*GVT!$H$8+GVT!$F$8,IF(AND(E50&gt;GVT!$A$9,E50&lt;=GVT!$C$9),((E50-GVT!$C$8)*GVT!$H$9+GVT!$F$9),((E50-GVT!$A$11)*GVT!$H$11+GVT!$F$11)))))-F50))</f>
        <v>0</v>
      </c>
      <c r="K50" s="102">
        <f t="shared" si="1"/>
        <v>0</v>
      </c>
    </row>
  </sheetData>
  <sheetProtection password="CC29" sheet="1"/>
  <mergeCells count="20">
    <mergeCell ref="C8:E8"/>
    <mergeCell ref="D9:D10"/>
    <mergeCell ref="I7:I10"/>
    <mergeCell ref="J7:J10"/>
    <mergeCell ref="K7:K10"/>
    <mergeCell ref="N19:P19"/>
    <mergeCell ref="E9:E10"/>
    <mergeCell ref="H7:H10"/>
    <mergeCell ref="G7:G10"/>
    <mergeCell ref="C7:E7"/>
    <mergeCell ref="C6:E6"/>
    <mergeCell ref="A5:B5"/>
    <mergeCell ref="A1:B1"/>
    <mergeCell ref="A2:B2"/>
    <mergeCell ref="A3:B3"/>
    <mergeCell ref="F7:F10"/>
    <mergeCell ref="B7:B10"/>
    <mergeCell ref="A6:A10"/>
    <mergeCell ref="A4:B4"/>
    <mergeCell ref="C9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Esin KILIÇ (SMMM)</dc:creator>
  <cp:keywords/>
  <dc:description/>
  <cp:lastModifiedBy>Esin KILIÇ</cp:lastModifiedBy>
  <cp:lastPrinted>2017-01-17T10:50:54Z</cp:lastPrinted>
  <dcterms:created xsi:type="dcterms:W3CDTF">2002-04-04T06:16:33Z</dcterms:created>
  <dcterms:modified xsi:type="dcterms:W3CDTF">2021-01-02T06:31:50Z</dcterms:modified>
  <cp:category/>
  <cp:version/>
  <cp:contentType/>
  <cp:contentStatus/>
</cp:coreProperties>
</file>